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11640" firstSheet="1" activeTab="1"/>
  </bookViews>
  <sheets>
    <sheet name="iNSTRUCTIONS" sheetId="1" r:id="rId1"/>
    <sheet name="SUMMARY" sheetId="2" r:id="rId2"/>
    <sheet name="Rate Comparison" sheetId="3" r:id="rId3"/>
    <sheet name="Example" sheetId="4" r:id="rId4"/>
    <sheet name="AA" sheetId="5" r:id="rId5"/>
    <sheet name="AB" sheetId="6" r:id="rId6"/>
    <sheet name="AC" sheetId="7" r:id="rId7"/>
    <sheet name="AD" sheetId="8" r:id="rId8"/>
    <sheet name="AE" sheetId="9" r:id="rId9"/>
    <sheet name="AF" sheetId="10" r:id="rId10"/>
    <sheet name="AG" sheetId="11" r:id="rId11"/>
    <sheet name="AH" sheetId="12" r:id="rId12"/>
    <sheet name="AI" sheetId="13" r:id="rId13"/>
    <sheet name="AJ" sheetId="14" r:id="rId14"/>
    <sheet name="AK" sheetId="15" r:id="rId15"/>
    <sheet name="AL" sheetId="16" r:id="rId16"/>
    <sheet name="AM" sheetId="17" r:id="rId17"/>
    <sheet name="AN" sheetId="18" r:id="rId18"/>
    <sheet name="AO" sheetId="19" r:id="rId19"/>
    <sheet name="AP" sheetId="20" r:id="rId20"/>
    <sheet name="AQ" sheetId="21" r:id="rId21"/>
    <sheet name="Sheet1" sheetId="22" r:id="rId22"/>
  </sheets>
  <definedNames>
    <definedName name="_xlnm.Print_Area" localSheetId="17">'AN'!$A$1:$R$86</definedName>
    <definedName name="_xlnm.Print_Area" localSheetId="1">'SUMMARY'!$A$1:$N$28</definedName>
  </definedNames>
  <calcPr fullCalcOnLoad="1"/>
</workbook>
</file>

<file path=xl/sharedStrings.xml><?xml version="1.0" encoding="utf-8"?>
<sst xmlns="http://schemas.openxmlformats.org/spreadsheetml/2006/main" count="2212" uniqueCount="108">
  <si>
    <t>Metered Usage</t>
  </si>
  <si>
    <t>Energy</t>
  </si>
  <si>
    <t>On Peak</t>
  </si>
  <si>
    <t>Off Peak</t>
  </si>
  <si>
    <t>Demand</t>
  </si>
  <si>
    <t>Peak</t>
  </si>
  <si>
    <t>Intermediate</t>
  </si>
  <si>
    <t>Base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</si>
  <si>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</si>
  <si>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</si>
  <si>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</si>
  <si>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</si>
  <si>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</si>
  <si>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</si>
  <si>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</si>
  <si>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</si>
  <si>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</si>
  <si>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</si>
  <si>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</si>
  <si>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</si>
  <si>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</si>
  <si>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Base Charges</t>
  </si>
  <si>
    <t>Service Charge</t>
  </si>
  <si>
    <t>Energy Charge</t>
  </si>
  <si>
    <t>TOTAL:</t>
  </si>
  <si>
    <t>Service</t>
  </si>
  <si>
    <t>Savings</t>
  </si>
  <si>
    <t>CURRENT</t>
  </si>
  <si>
    <t>POTENTIAL</t>
  </si>
  <si>
    <t>COMPARISON</t>
  </si>
  <si>
    <t>RATE COMPARISON TEMPLATE</t>
  </si>
  <si>
    <t>PF</t>
  </si>
  <si>
    <t>Max KW</t>
  </si>
  <si>
    <t>FACILITY NAME</t>
  </si>
  <si>
    <t>School</t>
  </si>
  <si>
    <t>AA</t>
  </si>
  <si>
    <t>AB</t>
  </si>
  <si>
    <t>AC</t>
  </si>
  <si>
    <t>AD</t>
  </si>
  <si>
    <t>Rate Code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</si>
  <si>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</si>
  <si>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</si>
  <si>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</si>
  <si>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</si>
  <si>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</si>
  <si>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</si>
  <si>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</si>
  <si>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</si>
  <si>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</si>
  <si>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</si>
  <si>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</si>
  <si>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</si>
  <si>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</si>
  <si>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</si>
  <si>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</si>
  <si>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</si>
  <si>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</si>
  <si>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AO</t>
  </si>
  <si>
    <t>AP</t>
  </si>
  <si>
    <t>AQ</t>
  </si>
  <si>
    <t>ATR</t>
  </si>
  <si>
    <t>EDR</t>
  </si>
  <si>
    <t>BSRR</t>
  </si>
  <si>
    <t>ES</t>
  </si>
  <si>
    <t>Fuel &amp; Embedded</t>
  </si>
  <si>
    <t>Demand Charge</t>
  </si>
  <si>
    <t>L.G.S. Current</t>
  </si>
  <si>
    <t>Excess KVA</t>
  </si>
  <si>
    <t>BS1OR</t>
  </si>
  <si>
    <t>L.G.S. TOD Proposed</t>
  </si>
  <si>
    <t>L.G.S. TOD Current</t>
  </si>
  <si>
    <t>Energy On-Peak</t>
  </si>
  <si>
    <t>Energy Off-Peak</t>
  </si>
  <si>
    <t>Ai</t>
  </si>
  <si>
    <t>% Increase</t>
  </si>
  <si>
    <t>TAB</t>
  </si>
  <si>
    <t>RATE COMPARISON</t>
  </si>
  <si>
    <t>SUMMARY</t>
  </si>
  <si>
    <t>Total billngs from tabs AA-AR are summarized here.</t>
  </si>
  <si>
    <t>AA-AR</t>
  </si>
  <si>
    <t>Use the green shaded cels to select a monthly comparison between rates.</t>
  </si>
  <si>
    <r>
      <t xml:space="preserve">Master rate sheet where the individual kw, kwh and rider charges are entered in the </t>
    </r>
    <r>
      <rPr>
        <b/>
        <u val="single"/>
        <sz val="11"/>
        <color indexed="8"/>
        <rFont val="Calibri"/>
        <family val="2"/>
      </rPr>
      <t>blue shaded cells that are used in t</t>
    </r>
    <r>
      <rPr>
        <sz val="11"/>
        <color theme="1"/>
        <rFont val="Calibri"/>
        <family val="2"/>
      </rPr>
      <t>abs AA -AR. Changing the rates on this tab will change the rates on tabs AA-AR.</t>
    </r>
  </si>
  <si>
    <r>
      <t xml:space="preserve">Enter </t>
    </r>
    <r>
      <rPr>
        <b/>
        <i/>
        <u val="single"/>
        <sz val="11"/>
        <color indexed="8"/>
        <rFont val="Calibri"/>
        <family val="2"/>
      </rPr>
      <t>only</t>
    </r>
    <r>
      <rPr>
        <b/>
        <sz val="11"/>
        <color indexed="8"/>
        <rFont val="Calibri"/>
        <family val="2"/>
      </rPr>
      <t xml:space="preserve"> the name of the</t>
    </r>
    <r>
      <rPr>
        <b/>
        <i/>
        <u val="single"/>
        <sz val="11"/>
        <color indexed="8"/>
        <rFont val="Calibri"/>
        <family val="2"/>
      </rPr>
      <t xml:space="preserve"> facility name, kw and kwh</t>
    </r>
    <r>
      <rPr>
        <b/>
        <sz val="11"/>
        <color indexed="8"/>
        <rFont val="Calibri"/>
        <family val="2"/>
      </rPr>
      <t xml:space="preserve"> in the yellow shaded cells.</t>
    </r>
  </si>
  <si>
    <t>BS1OR-Energy</t>
  </si>
  <si>
    <t>BS1OR-Demand</t>
  </si>
  <si>
    <t>Capacity</t>
  </si>
  <si>
    <t>`</t>
  </si>
  <si>
    <t>DSM</t>
  </si>
  <si>
    <t>Flat Gap Elem</t>
  </si>
  <si>
    <t>John Middle</t>
  </si>
  <si>
    <t>Johnson HS</t>
  </si>
  <si>
    <t>Louisa West ES</t>
  </si>
  <si>
    <t>Louisa East ES</t>
  </si>
  <si>
    <t>Lawrence MS</t>
  </si>
  <si>
    <t>Lawrence HS</t>
  </si>
  <si>
    <t>Inez ES</t>
  </si>
  <si>
    <t>Warfield ES</t>
  </si>
  <si>
    <t>Inez MS</t>
  </si>
  <si>
    <t>Sheldon Clark</t>
  </si>
  <si>
    <t>Paintsville HS</t>
  </si>
  <si>
    <t>Paintsville ES</t>
  </si>
  <si>
    <t>L.G.S. -School</t>
  </si>
  <si>
    <t>L.G.S. School Current</t>
  </si>
  <si>
    <t>L.G.S. School Proposed</t>
  </si>
  <si>
    <t>Porter ES</t>
  </si>
  <si>
    <t>Central ES Johnson</t>
  </si>
  <si>
    <t>Highland ES Johnson</t>
  </si>
  <si>
    <t>K-12 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</si>
</sst>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;[Red]&quot;$&quot;#,##0.00"/>
    <numFmt numFmtId="167" formatCode="#,##0.00;[Red]#,##0.0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&quot;$&quot;#,##0.0000"/>
    <numFmt numFmtId="175" formatCode="0.00000%"/>
    <numFmt numFmtId="17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14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44" fillId="0" borderId="14" xfId="0" applyFon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38" fillId="0" borderId="0" xfId="54" applyAlignment="1">
      <alignment/>
    </xf>
    <xf numFmtId="0" fontId="1" fillId="0" borderId="0" xfId="0" applyFont="1" applyAlignment="1">
      <alignment/>
    </xf>
    <xf numFmtId="167" fontId="0" fillId="33" borderId="18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 wrapText="1"/>
    </xf>
    <xf numFmtId="164" fontId="48" fillId="0" borderId="14" xfId="0" applyNumberFormat="1" applyFont="1" applyBorder="1" applyAlignment="1">
      <alignment horizontal="center"/>
    </xf>
    <xf numFmtId="164" fontId="48" fillId="0" borderId="15" xfId="0" applyNumberFormat="1" applyFont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8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0" fillId="14" borderId="0" xfId="0" applyFill="1" applyAlignment="1">
      <alignment/>
    </xf>
    <xf numFmtId="173" fontId="0" fillId="14" borderId="0" xfId="42" applyNumberFormat="1" applyFont="1" applyFill="1" applyAlignment="1">
      <alignment/>
    </xf>
    <xf numFmtId="164" fontId="44" fillId="0" borderId="0" xfId="0" applyNumberFormat="1" applyFont="1" applyAlignment="1">
      <alignment/>
    </xf>
    <xf numFmtId="168" fontId="44" fillId="0" borderId="0" xfId="0" applyNumberFormat="1" applyFont="1" applyAlignment="1">
      <alignment/>
    </xf>
    <xf numFmtId="168" fontId="44" fillId="0" borderId="13" xfId="0" applyNumberFormat="1" applyFont="1" applyBorder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73" fontId="0" fillId="14" borderId="0" xfId="0" applyNumberFormat="1" applyFill="1" applyAlignment="1">
      <alignment/>
    </xf>
    <xf numFmtId="175" fontId="0" fillId="14" borderId="0" xfId="0" applyNumberFormat="1" applyFill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44" fillId="0" borderId="13" xfId="0" applyFont="1" applyBorder="1" applyAlignment="1">
      <alignment horizontal="center"/>
    </xf>
    <xf numFmtId="10" fontId="0" fillId="0" borderId="13" xfId="0" applyNumberFormat="1" applyBorder="1" applyAlignment="1">
      <alignment/>
    </xf>
    <xf numFmtId="0" fontId="47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/>
    </xf>
    <xf numFmtId="3" fontId="0" fillId="0" borderId="21" xfId="0" applyNumberFormat="1" applyBorder="1" applyAlignment="1" applyProtection="1">
      <alignment horizontal="center"/>
      <protection locked="0"/>
    </xf>
    <xf numFmtId="0" fontId="47" fillId="33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14" borderId="0" xfId="0" applyFill="1" applyAlignment="1">
      <alignment horizontal="left" vertical="top" wrapText="1"/>
    </xf>
    <xf numFmtId="0" fontId="44" fillId="33" borderId="0" xfId="0" applyFont="1" applyFill="1" applyAlignment="1">
      <alignment horizontal="center"/>
    </xf>
    <xf numFmtId="0" fontId="44" fillId="19" borderId="0" xfId="0" applyFont="1" applyFill="1" applyAlignment="1">
      <alignment horizontal="left"/>
    </xf>
    <xf numFmtId="0" fontId="47" fillId="0" borderId="0" xfId="0" applyFont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9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991100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2</xdr:col>
      <xdr:colOff>1104900</xdr:colOff>
      <xdr:row>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2466975" cy="9429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****CHANGING THE RATES ON THIS SHEET WILL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IT ON ALL SHEETS.  DO NOT ALTER THIS SHEET EXCEPT IN THE CASE OF RATE CHANGES!!!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3816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152400</xdr:colOff>
      <xdr:row>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38100"/>
          <a:ext cx="95250" cy="10477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152400</xdr:rowOff>
    </xdr:from>
    <xdr:to>
      <xdr:col>1</xdr:col>
      <xdr:colOff>304800</xdr:colOff>
      <xdr:row>3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609600"/>
          <a:ext cx="76200" cy="571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selection activeCell="M16" sqref="M15:M16"/>
    </sheetView>
  </sheetViews>
  <sheetFormatPr defaultColWidth="9.140625" defaultRowHeight="15"/>
  <sheetData>
    <row r="3" spans="1:3" ht="15">
      <c r="A3" s="1" t="s">
        <v>75</v>
      </c>
      <c r="B3" s="1" t="s">
        <v>76</v>
      </c>
      <c r="C3" s="1"/>
    </row>
    <row r="5" spans="1:10" ht="15">
      <c r="A5" s="15"/>
      <c r="B5" s="78" t="s">
        <v>81</v>
      </c>
      <c r="C5" s="78"/>
      <c r="D5" s="78"/>
      <c r="E5" s="78"/>
      <c r="F5" s="78"/>
      <c r="G5" s="78"/>
      <c r="H5" s="78"/>
      <c r="I5" s="78"/>
      <c r="J5" s="78"/>
    </row>
    <row r="6" spans="2:10" ht="15">
      <c r="B6" s="78"/>
      <c r="C6" s="78"/>
      <c r="D6" s="78"/>
      <c r="E6" s="78"/>
      <c r="F6" s="78"/>
      <c r="G6" s="78"/>
      <c r="H6" s="78"/>
      <c r="I6" s="78"/>
      <c r="J6" s="78"/>
    </row>
    <row r="7" spans="2:10" ht="15">
      <c r="B7" s="78"/>
      <c r="C7" s="78"/>
      <c r="D7" s="78"/>
      <c r="E7" s="78"/>
      <c r="F7" s="78"/>
      <c r="G7" s="78"/>
      <c r="H7" s="78"/>
      <c r="I7" s="78"/>
      <c r="J7" s="78"/>
    </row>
    <row r="8" spans="1:2" ht="15">
      <c r="A8" s="1" t="s">
        <v>75</v>
      </c>
      <c r="B8" s="1" t="s">
        <v>77</v>
      </c>
    </row>
    <row r="10" ht="15">
      <c r="B10" s="15" t="s">
        <v>78</v>
      </c>
    </row>
    <row r="12" spans="1:2" ht="15">
      <c r="A12" s="1" t="s">
        <v>75</v>
      </c>
      <c r="B12" s="1" t="s">
        <v>79</v>
      </c>
    </row>
    <row r="14" spans="2:9" ht="15">
      <c r="B14" s="79" t="s">
        <v>82</v>
      </c>
      <c r="C14" s="79"/>
      <c r="D14" s="79"/>
      <c r="E14" s="79"/>
      <c r="F14" s="79"/>
      <c r="G14" s="79"/>
      <c r="H14" s="79"/>
      <c r="I14" s="79"/>
    </row>
    <row r="16" spans="2:9" ht="15">
      <c r="B16" s="80" t="s">
        <v>80</v>
      </c>
      <c r="C16" s="80"/>
      <c r="D16" s="80"/>
      <c r="E16" s="80"/>
      <c r="F16" s="80"/>
      <c r="G16" s="80"/>
      <c r="H16" s="80"/>
      <c r="I16" s="80"/>
    </row>
  </sheetData>
  <sheetProtection/>
  <mergeCells count="3">
    <mergeCell ref="B5:J7"/>
    <mergeCell ref="B14:I14"/>
    <mergeCell ref="B16:I16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34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91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108800</v>
      </c>
      <c r="F7" s="75">
        <v>114720</v>
      </c>
      <c r="G7" s="75">
        <v>78720</v>
      </c>
      <c r="H7" s="75">
        <v>93600</v>
      </c>
      <c r="I7" s="75">
        <v>136720</v>
      </c>
      <c r="J7" s="75">
        <v>115760</v>
      </c>
      <c r="K7" s="75">
        <v>120240</v>
      </c>
      <c r="L7" s="75">
        <v>114960</v>
      </c>
      <c r="M7" s="75">
        <v>105840</v>
      </c>
      <c r="N7" s="75">
        <v>99280</v>
      </c>
      <c r="O7" s="75">
        <v>96320</v>
      </c>
      <c r="P7" s="75">
        <v>90560</v>
      </c>
      <c r="R7" s="4">
        <f>SUM(E7:P7)</f>
        <v>1275520</v>
      </c>
      <c r="S7" s="15">
        <f>R7/(8760*MAX(E10:P10))</f>
        <v>0.25314204787217154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R9" s="4"/>
      <c r="W9" s="15" t="s">
        <v>45</v>
      </c>
      <c r="X9" s="20"/>
    </row>
    <row r="10" spans="2:24" ht="15">
      <c r="B10" s="34">
        <f>MAX(E10:P10)</f>
        <v>575.2</v>
      </c>
      <c r="C10" s="34"/>
      <c r="D10" s="10" t="s">
        <v>5</v>
      </c>
      <c r="E10" s="76">
        <v>449.6</v>
      </c>
      <c r="F10" s="76">
        <v>478.40000000000003</v>
      </c>
      <c r="G10" s="76">
        <v>362.4</v>
      </c>
      <c r="H10" s="76">
        <v>424.80000000000007</v>
      </c>
      <c r="I10" s="76">
        <v>469.6</v>
      </c>
      <c r="J10" s="76">
        <v>466.4</v>
      </c>
      <c r="K10" s="76">
        <v>524</v>
      </c>
      <c r="L10" s="76">
        <v>575.2</v>
      </c>
      <c r="M10" s="76">
        <v>528</v>
      </c>
      <c r="N10" s="76">
        <v>440.00000000000006</v>
      </c>
      <c r="O10" s="76">
        <v>415.2</v>
      </c>
      <c r="P10" s="76">
        <v>299.2</v>
      </c>
      <c r="R10" s="4">
        <f>SUM(E10:P10)</f>
        <v>5432.8</v>
      </c>
      <c r="W10" s="15" t="s">
        <v>46</v>
      </c>
      <c r="X10" s="20"/>
    </row>
    <row r="11" spans="2:24" ht="15">
      <c r="B11" s="34">
        <f>MAX(E11:P11)</f>
        <v>575.2</v>
      </c>
      <c r="C11" s="34"/>
      <c r="D11" s="10" t="s">
        <v>6</v>
      </c>
      <c r="E11" s="76">
        <v>449.6</v>
      </c>
      <c r="F11" s="76">
        <v>478.40000000000003</v>
      </c>
      <c r="G11" s="76">
        <v>362.4</v>
      </c>
      <c r="H11" s="76">
        <v>424.80000000000007</v>
      </c>
      <c r="I11" s="76">
        <v>469.6</v>
      </c>
      <c r="J11" s="76">
        <v>466.4</v>
      </c>
      <c r="K11" s="76">
        <v>524</v>
      </c>
      <c r="L11" s="76">
        <v>575.2</v>
      </c>
      <c r="M11" s="76">
        <v>528</v>
      </c>
      <c r="N11" s="76">
        <v>440.00000000000006</v>
      </c>
      <c r="O11" s="76">
        <v>415.2</v>
      </c>
      <c r="P11" s="76">
        <v>299.2</v>
      </c>
      <c r="R11" s="4">
        <f>SUM(E11:P11)</f>
        <v>5432.8</v>
      </c>
      <c r="W11" s="15" t="s">
        <v>47</v>
      </c>
      <c r="X11" s="20"/>
    </row>
    <row r="12" spans="2:24" ht="15">
      <c r="B12" s="34">
        <f>MAX(E12:P12)</f>
        <v>575.2</v>
      </c>
      <c r="C12" s="34"/>
      <c r="D12" s="10" t="s">
        <v>7</v>
      </c>
      <c r="E12" s="76">
        <v>449.6</v>
      </c>
      <c r="F12" s="76">
        <v>478.40000000000003</v>
      </c>
      <c r="G12" s="76">
        <v>362.4</v>
      </c>
      <c r="H12" s="76">
        <v>424.80000000000007</v>
      </c>
      <c r="I12" s="76">
        <v>469.6</v>
      </c>
      <c r="J12" s="76">
        <v>466.4</v>
      </c>
      <c r="K12" s="76">
        <v>524</v>
      </c>
      <c r="L12" s="76">
        <v>575.2</v>
      </c>
      <c r="M12" s="76">
        <v>528</v>
      </c>
      <c r="N12" s="76">
        <v>440.00000000000006</v>
      </c>
      <c r="O12" s="76">
        <v>415.2</v>
      </c>
      <c r="P12" s="76">
        <v>299.2</v>
      </c>
      <c r="R12" s="4">
        <f>SUM(E12:P12)</f>
        <v>5432.8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8480.960000000001</v>
      </c>
      <c r="F56" s="6">
        <f t="shared" si="32"/>
        <v>8942.424</v>
      </c>
      <c r="G56" s="6">
        <f t="shared" si="32"/>
        <v>6136.224</v>
      </c>
      <c r="H56" s="6">
        <f t="shared" si="32"/>
        <v>7296.120000000001</v>
      </c>
      <c r="I56" s="6">
        <f t="shared" si="32"/>
        <v>10657.324</v>
      </c>
      <c r="J56" s="6">
        <f t="shared" si="32"/>
        <v>9023.492</v>
      </c>
      <c r="K56" s="6">
        <f t="shared" si="32"/>
        <v>9372.708</v>
      </c>
      <c r="L56" s="6">
        <f t="shared" si="32"/>
        <v>8961.132000000001</v>
      </c>
      <c r="M56" s="6">
        <f t="shared" si="32"/>
        <v>8250.228000000001</v>
      </c>
      <c r="N56" s="6">
        <f t="shared" si="32"/>
        <v>7738.876</v>
      </c>
      <c r="O56" s="6">
        <f t="shared" si="32"/>
        <v>7508.144</v>
      </c>
      <c r="P56" s="6">
        <f t="shared" si="32"/>
        <v>7059.152</v>
      </c>
      <c r="Q56" s="47"/>
      <c r="R56" s="47">
        <f t="shared" si="31"/>
        <v>99426.78400000001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1807.3919999999998</v>
      </c>
      <c r="F57" s="6">
        <f t="shared" si="33"/>
        <v>1923.168</v>
      </c>
      <c r="G57" s="6">
        <f t="shared" si="33"/>
        <v>1456.8479999999997</v>
      </c>
      <c r="H57" s="6">
        <f t="shared" si="33"/>
        <v>1707.6960000000001</v>
      </c>
      <c r="I57" s="6">
        <f t="shared" si="33"/>
        <v>1887.792</v>
      </c>
      <c r="J57" s="6">
        <f t="shared" si="33"/>
        <v>1874.9279999999997</v>
      </c>
      <c r="K57" s="6">
        <f t="shared" si="33"/>
        <v>2106.4799999999996</v>
      </c>
      <c r="L57" s="6">
        <f t="shared" si="33"/>
        <v>2312.304</v>
      </c>
      <c r="M57" s="6">
        <f t="shared" si="33"/>
        <v>2122.56</v>
      </c>
      <c r="N57" s="6">
        <f t="shared" si="33"/>
        <v>1768.8</v>
      </c>
      <c r="O57" s="6">
        <f t="shared" si="33"/>
        <v>1669.1039999999998</v>
      </c>
      <c r="P57" s="6">
        <f t="shared" si="33"/>
        <v>1202.7839999999999</v>
      </c>
      <c r="Q57" s="47"/>
      <c r="R57" s="47">
        <f t="shared" si="31"/>
        <v>21839.855999999996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107.2768</v>
      </c>
      <c r="F59" s="6">
        <f t="shared" si="35"/>
        <v>113.11392</v>
      </c>
      <c r="G59" s="6">
        <f t="shared" si="35"/>
        <v>77.61792</v>
      </c>
      <c r="H59" s="6">
        <f t="shared" si="35"/>
        <v>92.2896</v>
      </c>
      <c r="I59" s="6">
        <f t="shared" si="35"/>
        <v>134.80592</v>
      </c>
      <c r="J59" s="6">
        <f t="shared" si="35"/>
        <v>114.13935999999998</v>
      </c>
      <c r="K59" s="6">
        <f t="shared" si="35"/>
        <v>118.55663999999999</v>
      </c>
      <c r="L59" s="6">
        <f t="shared" si="35"/>
        <v>113.35055999999999</v>
      </c>
      <c r="M59" s="6">
        <f t="shared" si="35"/>
        <v>104.35824</v>
      </c>
      <c r="N59" s="6">
        <f t="shared" si="35"/>
        <v>97.89007999999998</v>
      </c>
      <c r="O59" s="6">
        <f t="shared" si="35"/>
        <v>94.97151999999998</v>
      </c>
      <c r="P59" s="6">
        <f t="shared" si="35"/>
        <v>89.29216</v>
      </c>
      <c r="Q59" s="47"/>
      <c r="R59" s="47">
        <f t="shared" si="31"/>
        <v>1257.66272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222.07168000000001</v>
      </c>
      <c r="F60" s="6">
        <f t="shared" si="36"/>
        <v>234.15499200000002</v>
      </c>
      <c r="G60" s="6">
        <f t="shared" si="36"/>
        <v>160.67539200000002</v>
      </c>
      <c r="H60" s="6">
        <f t="shared" si="36"/>
        <v>191.04696</v>
      </c>
      <c r="I60" s="6">
        <f t="shared" si="36"/>
        <v>279.059192</v>
      </c>
      <c r="J60" s="6">
        <f t="shared" si="36"/>
        <v>236.277736</v>
      </c>
      <c r="K60" s="6">
        <f t="shared" si="36"/>
        <v>245.42186400000003</v>
      </c>
      <c r="L60" s="6">
        <f t="shared" si="36"/>
        <v>234.644856</v>
      </c>
      <c r="M60" s="6">
        <f t="shared" si="36"/>
        <v>216.03002400000003</v>
      </c>
      <c r="N60" s="6">
        <f t="shared" si="36"/>
        <v>202.640408</v>
      </c>
      <c r="O60" s="6">
        <f t="shared" si="36"/>
        <v>196.59875200000002</v>
      </c>
      <c r="P60" s="6">
        <f t="shared" si="36"/>
        <v>184.842016</v>
      </c>
      <c r="Q60" s="47"/>
      <c r="R60" s="47">
        <f t="shared" si="31"/>
        <v>2603.4638720000003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105.536</v>
      </c>
      <c r="F61" s="6">
        <f aca="true" t="shared" si="37" ref="F61:P61">$D61*F$7</f>
        <v>111.2784</v>
      </c>
      <c r="G61" s="6">
        <f t="shared" si="37"/>
        <v>76.3584</v>
      </c>
      <c r="H61" s="6">
        <f t="shared" si="37"/>
        <v>90.792</v>
      </c>
      <c r="I61" s="6">
        <f t="shared" si="37"/>
        <v>132.6184</v>
      </c>
      <c r="J61" s="6">
        <f t="shared" si="37"/>
        <v>112.28720000000001</v>
      </c>
      <c r="K61" s="6">
        <f t="shared" si="37"/>
        <v>116.6328</v>
      </c>
      <c r="L61" s="6">
        <f t="shared" si="37"/>
        <v>111.5112</v>
      </c>
      <c r="M61" s="6">
        <f t="shared" si="37"/>
        <v>102.6648</v>
      </c>
      <c r="N61" s="6">
        <f t="shared" si="37"/>
        <v>96.30160000000001</v>
      </c>
      <c r="O61" s="6">
        <f t="shared" si="37"/>
        <v>93.4304</v>
      </c>
      <c r="P61" s="6">
        <f t="shared" si="37"/>
        <v>87.84320000000001</v>
      </c>
      <c r="Q61" s="47"/>
      <c r="R61" s="47">
        <f t="shared" si="31"/>
        <v>1237.2544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1112.81754056</v>
      </c>
      <c r="F62" s="6">
        <f aca="true" t="shared" si="38" ref="F62:P62">(SUM(F55:F61)-($D60+$C60)*F$7)*$D62</f>
        <v>1175.2691967039998</v>
      </c>
      <c r="G62" s="6">
        <f t="shared" si="38"/>
        <v>830.785627504</v>
      </c>
      <c r="H62" s="6">
        <f t="shared" si="38"/>
        <v>981.79747072</v>
      </c>
      <c r="I62" s="6">
        <f t="shared" si="38"/>
        <v>1338.231074904</v>
      </c>
      <c r="J62" s="6">
        <f t="shared" si="38"/>
        <v>1176.0598770319998</v>
      </c>
      <c r="K62" s="6">
        <f t="shared" si="38"/>
        <v>1244.688145768</v>
      </c>
      <c r="L62" s="6">
        <f t="shared" si="38"/>
        <v>1234.8714916720005</v>
      </c>
      <c r="M62" s="6">
        <f t="shared" si="38"/>
        <v>1136.971875688</v>
      </c>
      <c r="N62" s="6">
        <f t="shared" si="38"/>
        <v>1034.2980126959997</v>
      </c>
      <c r="O62" s="6">
        <f t="shared" si="38"/>
        <v>996.8657870239997</v>
      </c>
      <c r="P62" s="6">
        <f t="shared" si="38"/>
        <v>883.599244592</v>
      </c>
      <c r="Q62" s="47"/>
      <c r="R62" s="47">
        <f t="shared" si="31"/>
        <v>13146.255344864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11921.05402056</v>
      </c>
      <c r="F67" s="52">
        <f aca="true" t="shared" si="43" ref="F67:P67">SUM(F55:F66)</f>
        <v>12584.408508703998</v>
      </c>
      <c r="G67" s="52">
        <f t="shared" si="43"/>
        <v>8823.509339504</v>
      </c>
      <c r="H67" s="52">
        <f t="shared" si="43"/>
        <v>10444.74203072</v>
      </c>
      <c r="I67" s="52">
        <f t="shared" si="43"/>
        <v>14514.830586904001</v>
      </c>
      <c r="J67" s="52">
        <f t="shared" si="43"/>
        <v>12622.184173032</v>
      </c>
      <c r="K67" s="52">
        <f t="shared" si="43"/>
        <v>13289.487449768</v>
      </c>
      <c r="L67" s="52">
        <f t="shared" si="43"/>
        <v>13052.814107672004</v>
      </c>
      <c r="M67" s="52">
        <f t="shared" si="43"/>
        <v>12017.812939688</v>
      </c>
      <c r="N67" s="52">
        <f t="shared" si="43"/>
        <v>11023.806100695998</v>
      </c>
      <c r="O67" s="52">
        <f t="shared" si="43"/>
        <v>10644.114459023998</v>
      </c>
      <c r="P67" s="52">
        <f t="shared" si="43"/>
        <v>9592.512620592</v>
      </c>
      <c r="Q67" s="53"/>
      <c r="R67" s="54">
        <f>SUM(E67:P67)</f>
        <v>140531.27633686402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7632.864000000001</v>
      </c>
      <c r="F72" s="6">
        <f t="shared" si="46"/>
        <v>8048.181600000001</v>
      </c>
      <c r="G72" s="6">
        <f t="shared" si="46"/>
        <v>5522.601600000001</v>
      </c>
      <c r="H72" s="6">
        <f t="shared" si="46"/>
        <v>6566.508000000001</v>
      </c>
      <c r="I72" s="6">
        <f t="shared" si="46"/>
        <v>9591.591600000002</v>
      </c>
      <c r="J72" s="6">
        <f t="shared" si="46"/>
        <v>8121.142800000001</v>
      </c>
      <c r="K72" s="6">
        <f t="shared" si="46"/>
        <v>8435.4372</v>
      </c>
      <c r="L72" s="6">
        <f t="shared" si="46"/>
        <v>8065.018800000001</v>
      </c>
      <c r="M72" s="6">
        <f t="shared" si="46"/>
        <v>7425.205200000001</v>
      </c>
      <c r="N72" s="6">
        <f t="shared" si="46"/>
        <v>6964.988400000001</v>
      </c>
      <c r="O72" s="6">
        <f t="shared" si="46"/>
        <v>6757.329600000001</v>
      </c>
      <c r="P72" s="6">
        <f t="shared" si="46"/>
        <v>6353.236800000001</v>
      </c>
      <c r="Q72" s="47"/>
      <c r="R72" s="47">
        <f t="shared" si="45"/>
        <v>89484.10560000001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1626.6528</v>
      </c>
      <c r="F73" s="6">
        <f t="shared" si="47"/>
        <v>1730.8512</v>
      </c>
      <c r="G73" s="6">
        <f t="shared" si="47"/>
        <v>1311.1632</v>
      </c>
      <c r="H73" s="6">
        <f t="shared" si="47"/>
        <v>1536.9264000000003</v>
      </c>
      <c r="I73" s="6">
        <f t="shared" si="47"/>
        <v>1699.0128</v>
      </c>
      <c r="J73" s="6">
        <f t="shared" si="47"/>
        <v>1687.4352</v>
      </c>
      <c r="K73" s="6">
        <f t="shared" si="47"/>
        <v>1895.8319999999999</v>
      </c>
      <c r="L73" s="6">
        <f t="shared" si="47"/>
        <v>2081.0736</v>
      </c>
      <c r="M73" s="6">
        <f t="shared" si="47"/>
        <v>1910.3039999999999</v>
      </c>
      <c r="N73" s="6">
        <f t="shared" si="47"/>
        <v>1591.92</v>
      </c>
      <c r="O73" s="6">
        <f t="shared" si="47"/>
        <v>1502.1935999999998</v>
      </c>
      <c r="P73" s="6">
        <f t="shared" si="47"/>
        <v>1082.5056</v>
      </c>
      <c r="Q73" s="47"/>
      <c r="R73" s="47">
        <f t="shared" si="45"/>
        <v>19655.8704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222.07168000000001</v>
      </c>
      <c r="F75" s="6">
        <f t="shared" si="49"/>
        <v>234.15499200000002</v>
      </c>
      <c r="G75" s="6">
        <f t="shared" si="49"/>
        <v>160.67539200000002</v>
      </c>
      <c r="H75" s="6">
        <f t="shared" si="49"/>
        <v>191.04696</v>
      </c>
      <c r="I75" s="6">
        <f t="shared" si="49"/>
        <v>279.059192</v>
      </c>
      <c r="J75" s="6">
        <f t="shared" si="49"/>
        <v>236.277736</v>
      </c>
      <c r="K75" s="6">
        <f t="shared" si="49"/>
        <v>245.42186400000003</v>
      </c>
      <c r="L75" s="6">
        <f t="shared" si="49"/>
        <v>234.644856</v>
      </c>
      <c r="M75" s="6">
        <f t="shared" si="49"/>
        <v>216.03002400000003</v>
      </c>
      <c r="N75" s="6">
        <f t="shared" si="49"/>
        <v>202.640408</v>
      </c>
      <c r="O75" s="6">
        <f t="shared" si="49"/>
        <v>196.59875200000002</v>
      </c>
      <c r="P75" s="6">
        <f t="shared" si="49"/>
        <v>184.842016</v>
      </c>
      <c r="Q75" s="47"/>
      <c r="R75" s="47">
        <f t="shared" si="45"/>
        <v>2603.4638720000003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107.2768</v>
      </c>
      <c r="F76" s="6">
        <f t="shared" si="50"/>
        <v>113.11392</v>
      </c>
      <c r="G76" s="6">
        <f t="shared" si="50"/>
        <v>77.61792</v>
      </c>
      <c r="H76" s="6">
        <f t="shared" si="50"/>
        <v>92.2896</v>
      </c>
      <c r="I76" s="6">
        <f t="shared" si="50"/>
        <v>134.80592</v>
      </c>
      <c r="J76" s="6">
        <f t="shared" si="50"/>
        <v>114.13935999999998</v>
      </c>
      <c r="K76" s="6">
        <f t="shared" si="50"/>
        <v>118.55663999999999</v>
      </c>
      <c r="L76" s="6">
        <f t="shared" si="50"/>
        <v>113.35055999999999</v>
      </c>
      <c r="M76" s="6">
        <f t="shared" si="50"/>
        <v>104.35824</v>
      </c>
      <c r="N76" s="6">
        <f t="shared" si="50"/>
        <v>97.89007999999998</v>
      </c>
      <c r="O76" s="6">
        <f t="shared" si="50"/>
        <v>94.97151999999998</v>
      </c>
      <c r="P76" s="6">
        <f t="shared" si="50"/>
        <v>89.29216</v>
      </c>
      <c r="Q76" s="47"/>
      <c r="R76" s="47">
        <f t="shared" si="45"/>
        <v>1257.66272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128.60160000000002</v>
      </c>
      <c r="F77" s="6">
        <f aca="true" t="shared" si="51" ref="F77:P77">$D77*F$7</f>
        <v>135.59904</v>
      </c>
      <c r="G77" s="6">
        <f t="shared" si="51"/>
        <v>93.04704000000001</v>
      </c>
      <c r="H77" s="6">
        <f t="shared" si="51"/>
        <v>110.63520000000001</v>
      </c>
      <c r="I77" s="6">
        <f t="shared" si="51"/>
        <v>161.60304000000002</v>
      </c>
      <c r="J77" s="6">
        <f t="shared" si="51"/>
        <v>136.82832000000002</v>
      </c>
      <c r="K77" s="6">
        <f t="shared" si="51"/>
        <v>142.12368</v>
      </c>
      <c r="L77" s="6">
        <f t="shared" si="51"/>
        <v>135.88272</v>
      </c>
      <c r="M77" s="6">
        <f t="shared" si="51"/>
        <v>125.10288000000001</v>
      </c>
      <c r="N77" s="6">
        <f t="shared" si="51"/>
        <v>117.34896</v>
      </c>
      <c r="O77" s="6">
        <f t="shared" si="51"/>
        <v>113.85024000000001</v>
      </c>
      <c r="P77" s="6">
        <f t="shared" si="51"/>
        <v>107.04192</v>
      </c>
      <c r="Q77" s="47"/>
      <c r="R77" s="47">
        <f t="shared" si="45"/>
        <v>1507.66464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151.232</v>
      </c>
      <c r="F80" s="6">
        <f t="shared" si="54"/>
        <v>159.4608</v>
      </c>
      <c r="G80" s="6">
        <f t="shared" si="54"/>
        <v>109.4208</v>
      </c>
      <c r="H80" s="6">
        <f t="shared" si="54"/>
        <v>130.10399999999998</v>
      </c>
      <c r="I80" s="6">
        <f t="shared" si="54"/>
        <v>190.0408</v>
      </c>
      <c r="J80" s="6">
        <f t="shared" si="54"/>
        <v>160.9064</v>
      </c>
      <c r="K80" s="6">
        <f t="shared" si="54"/>
        <v>167.1336</v>
      </c>
      <c r="L80" s="6">
        <f t="shared" si="54"/>
        <v>159.7944</v>
      </c>
      <c r="M80" s="6">
        <f t="shared" si="54"/>
        <v>147.11759999999998</v>
      </c>
      <c r="N80" s="6">
        <f t="shared" si="54"/>
        <v>137.9992</v>
      </c>
      <c r="O80" s="6">
        <f t="shared" si="54"/>
        <v>133.88479999999998</v>
      </c>
      <c r="P80" s="6">
        <f t="shared" si="54"/>
        <v>125.8784</v>
      </c>
      <c r="Q80" s="47"/>
      <c r="R80" s="47">
        <f t="shared" si="45"/>
        <v>1772.9728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202.32000000000002</v>
      </c>
      <c r="F81" s="6">
        <f t="shared" si="55"/>
        <v>215.28000000000003</v>
      </c>
      <c r="G81" s="6">
        <f t="shared" si="55"/>
        <v>163.07999999999998</v>
      </c>
      <c r="H81" s="6">
        <f t="shared" si="55"/>
        <v>191.16000000000003</v>
      </c>
      <c r="I81" s="6">
        <f t="shared" si="55"/>
        <v>211.32000000000002</v>
      </c>
      <c r="J81" s="6">
        <f t="shared" si="55"/>
        <v>209.88</v>
      </c>
      <c r="K81" s="6">
        <f t="shared" si="55"/>
        <v>235.8</v>
      </c>
      <c r="L81" s="6">
        <f t="shared" si="55"/>
        <v>258.84000000000003</v>
      </c>
      <c r="M81" s="6">
        <f t="shared" si="55"/>
        <v>237.6</v>
      </c>
      <c r="N81" s="6">
        <f t="shared" si="55"/>
        <v>198.00000000000003</v>
      </c>
      <c r="O81" s="6">
        <f t="shared" si="55"/>
        <v>186.84</v>
      </c>
      <c r="P81" s="6">
        <f t="shared" si="55"/>
        <v>134.64</v>
      </c>
      <c r="Q81" s="47"/>
      <c r="R81" s="47">
        <f t="shared" si="45"/>
        <v>2444.76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426.37170702840007</v>
      </c>
      <c r="F82" s="6">
        <f t="shared" si="56"/>
        <v>450.38167852232</v>
      </c>
      <c r="G82" s="6">
        <f t="shared" si="56"/>
        <v>319.36136919032</v>
      </c>
      <c r="H82" s="6">
        <f t="shared" si="56"/>
        <v>377.17925476040006</v>
      </c>
      <c r="I82" s="6">
        <f t="shared" si="56"/>
        <v>510.25455273952014</v>
      </c>
      <c r="J82" s="6">
        <f t="shared" si="56"/>
        <v>450.2763666897599</v>
      </c>
      <c r="K82" s="6">
        <f t="shared" si="56"/>
        <v>477.52003092463997</v>
      </c>
      <c r="L82" s="6">
        <f t="shared" si="56"/>
        <v>475.5906280457601</v>
      </c>
      <c r="M82" s="6">
        <f t="shared" si="56"/>
        <v>437.88448667023994</v>
      </c>
      <c r="N82" s="6">
        <f t="shared" si="56"/>
        <v>397.06516983807984</v>
      </c>
      <c r="O82" s="6">
        <f t="shared" si="56"/>
        <v>382.42457245272</v>
      </c>
      <c r="P82" s="6">
        <f t="shared" si="56"/>
        <v>336.76766930136</v>
      </c>
      <c r="Q82" s="47"/>
      <c r="R82" s="47">
        <f t="shared" si="45"/>
        <v>5041.07748616352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670.9141583844001</v>
      </c>
      <c r="F83" s="6">
        <f t="shared" si="57"/>
        <v>708.69487777112</v>
      </c>
      <c r="G83" s="6">
        <f t="shared" si="57"/>
        <v>502.52880455912003</v>
      </c>
      <c r="H83" s="6">
        <f t="shared" si="57"/>
        <v>593.5077259964</v>
      </c>
      <c r="I83" s="6">
        <f t="shared" si="57"/>
        <v>802.9074119363203</v>
      </c>
      <c r="J83" s="6">
        <f t="shared" si="57"/>
        <v>708.52916508816</v>
      </c>
      <c r="K83" s="6">
        <f t="shared" si="57"/>
        <v>751.39823862224</v>
      </c>
      <c r="L83" s="6">
        <f t="shared" si="57"/>
        <v>748.3622404841602</v>
      </c>
      <c r="M83" s="6">
        <f t="shared" si="57"/>
        <v>689.0300106718399</v>
      </c>
      <c r="N83" s="6">
        <f t="shared" si="57"/>
        <v>624.7990658252797</v>
      </c>
      <c r="O83" s="6">
        <f t="shared" si="57"/>
        <v>601.76145823752</v>
      </c>
      <c r="P83" s="6">
        <f t="shared" si="57"/>
        <v>529.91836394376</v>
      </c>
      <c r="R83" s="47">
        <f t="shared" si="45"/>
        <v>7932.35152152032</v>
      </c>
      <c r="S83" s="20"/>
    </row>
    <row r="84" spans="1:18" ht="15.75" thickBot="1">
      <c r="A84" s="40"/>
      <c r="D84" s="9" t="s">
        <v>24</v>
      </c>
      <c r="E84" s="52">
        <f>SUM(E71:E83)</f>
        <v>11253.4547454128</v>
      </c>
      <c r="F84" s="52">
        <f aca="true" t="shared" si="58" ref="F84:P84">SUM(F71:F83)</f>
        <v>11880.868108293442</v>
      </c>
      <c r="G84" s="52">
        <f t="shared" si="58"/>
        <v>8344.646125749441</v>
      </c>
      <c r="H84" s="52">
        <f t="shared" si="58"/>
        <v>9874.507140756801</v>
      </c>
      <c r="I84" s="52">
        <f t="shared" si="58"/>
        <v>13665.745316675842</v>
      </c>
      <c r="J84" s="52">
        <f t="shared" si="58"/>
        <v>11910.56534777792</v>
      </c>
      <c r="K84" s="52">
        <f t="shared" si="58"/>
        <v>12554.373253546879</v>
      </c>
      <c r="L84" s="52">
        <f t="shared" si="58"/>
        <v>12357.707804529924</v>
      </c>
      <c r="M84" s="52">
        <f t="shared" si="58"/>
        <v>11377.78244134208</v>
      </c>
      <c r="N84" s="52">
        <f t="shared" si="58"/>
        <v>10417.801283663359</v>
      </c>
      <c r="O84" s="52">
        <f t="shared" si="58"/>
        <v>10055.00454269024</v>
      </c>
      <c r="P84" s="52">
        <f t="shared" si="58"/>
        <v>9029.27292924512</v>
      </c>
      <c r="Q84" s="53"/>
      <c r="R84" s="54">
        <f>SUM(E84:P84)</f>
        <v>132721.72903968382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34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73" t="s">
        <v>93</v>
      </c>
      <c r="L1" s="73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180400</v>
      </c>
      <c r="F7" s="75">
        <v>189200</v>
      </c>
      <c r="G7" s="75">
        <v>157600</v>
      </c>
      <c r="H7" s="75">
        <v>167600</v>
      </c>
      <c r="I7" s="75">
        <v>206400</v>
      </c>
      <c r="J7" s="75">
        <v>202400</v>
      </c>
      <c r="K7" s="75">
        <v>160000</v>
      </c>
      <c r="L7" s="75">
        <v>146800</v>
      </c>
      <c r="M7" s="75">
        <v>157200</v>
      </c>
      <c r="N7" s="75">
        <v>188400</v>
      </c>
      <c r="O7" s="75">
        <v>166800</v>
      </c>
      <c r="P7" s="75">
        <v>142800</v>
      </c>
      <c r="R7" s="4">
        <f>SUM(E7:P7)</f>
        <v>2065600</v>
      </c>
      <c r="S7" s="15">
        <f>R7/(8760*MAX(E10:P10))</f>
        <v>0.3311784926376276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R9" s="4"/>
      <c r="W9" s="15" t="s">
        <v>45</v>
      </c>
      <c r="X9" s="20"/>
    </row>
    <row r="10" spans="2:24" ht="15">
      <c r="B10" s="34">
        <f>MAX(E10:P10)</f>
        <v>712</v>
      </c>
      <c r="C10" s="34"/>
      <c r="D10" s="10" t="s">
        <v>5</v>
      </c>
      <c r="E10" s="76">
        <v>660</v>
      </c>
      <c r="F10" s="76">
        <v>692</v>
      </c>
      <c r="G10" s="76">
        <v>616</v>
      </c>
      <c r="H10" s="76">
        <v>632</v>
      </c>
      <c r="I10" s="76">
        <v>636</v>
      </c>
      <c r="J10" s="76">
        <v>588</v>
      </c>
      <c r="K10" s="76">
        <v>692</v>
      </c>
      <c r="L10" s="76">
        <v>668</v>
      </c>
      <c r="M10" s="76">
        <v>616</v>
      </c>
      <c r="N10" s="76">
        <v>712</v>
      </c>
      <c r="O10" s="76">
        <v>660</v>
      </c>
      <c r="P10" s="76">
        <v>384</v>
      </c>
      <c r="R10" s="4">
        <f>SUM(E10:P10)</f>
        <v>7556</v>
      </c>
      <c r="W10" s="15" t="s">
        <v>46</v>
      </c>
      <c r="X10" s="20"/>
    </row>
    <row r="11" spans="2:24" ht="15">
      <c r="B11" s="34">
        <f>MAX(E11:P11)</f>
        <v>712</v>
      </c>
      <c r="C11" s="34"/>
      <c r="D11" s="10" t="s">
        <v>6</v>
      </c>
      <c r="E11" s="76">
        <v>660</v>
      </c>
      <c r="F11" s="76">
        <v>692</v>
      </c>
      <c r="G11" s="76">
        <v>616</v>
      </c>
      <c r="H11" s="76">
        <v>632</v>
      </c>
      <c r="I11" s="76">
        <v>636</v>
      </c>
      <c r="J11" s="76">
        <v>588</v>
      </c>
      <c r="K11" s="76">
        <v>692</v>
      </c>
      <c r="L11" s="76">
        <v>668</v>
      </c>
      <c r="M11" s="76">
        <v>616</v>
      </c>
      <c r="N11" s="76">
        <v>712</v>
      </c>
      <c r="O11" s="76">
        <v>660</v>
      </c>
      <c r="P11" s="76">
        <v>384</v>
      </c>
      <c r="R11" s="4">
        <f>SUM(E11:P11)</f>
        <v>7556</v>
      </c>
      <c r="W11" s="15" t="s">
        <v>47</v>
      </c>
      <c r="X11" s="20"/>
    </row>
    <row r="12" spans="2:24" ht="15">
      <c r="B12" s="34">
        <f>MAX(E12:P12)</f>
        <v>712</v>
      </c>
      <c r="C12" s="34"/>
      <c r="D12" s="10" t="s">
        <v>7</v>
      </c>
      <c r="E12" s="76">
        <v>660</v>
      </c>
      <c r="F12" s="76">
        <v>692</v>
      </c>
      <c r="G12" s="76">
        <v>616</v>
      </c>
      <c r="H12" s="76">
        <v>632</v>
      </c>
      <c r="I12" s="76">
        <v>636</v>
      </c>
      <c r="J12" s="76">
        <v>588</v>
      </c>
      <c r="K12" s="76">
        <v>692</v>
      </c>
      <c r="L12" s="76">
        <v>668</v>
      </c>
      <c r="M12" s="76">
        <v>616</v>
      </c>
      <c r="N12" s="76">
        <v>712</v>
      </c>
      <c r="O12" s="76">
        <v>660</v>
      </c>
      <c r="P12" s="76">
        <v>384</v>
      </c>
      <c r="R12" s="4">
        <f>SUM(E12:P12)</f>
        <v>7556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14062.18</v>
      </c>
      <c r="F56" s="6">
        <f t="shared" si="32"/>
        <v>14748.140000000001</v>
      </c>
      <c r="G56" s="6">
        <f t="shared" si="32"/>
        <v>12284.92</v>
      </c>
      <c r="H56" s="6">
        <f t="shared" si="32"/>
        <v>13064.42</v>
      </c>
      <c r="I56" s="6">
        <f t="shared" si="32"/>
        <v>16088.880000000001</v>
      </c>
      <c r="J56" s="6">
        <f t="shared" si="32"/>
        <v>15777.080000000002</v>
      </c>
      <c r="K56" s="6">
        <f t="shared" si="32"/>
        <v>12472</v>
      </c>
      <c r="L56" s="6">
        <f t="shared" si="32"/>
        <v>11443.060000000001</v>
      </c>
      <c r="M56" s="6">
        <f t="shared" si="32"/>
        <v>12253.740000000002</v>
      </c>
      <c r="N56" s="6">
        <f t="shared" si="32"/>
        <v>14685.78</v>
      </c>
      <c r="O56" s="6">
        <f t="shared" si="32"/>
        <v>13002.060000000001</v>
      </c>
      <c r="P56" s="6">
        <f t="shared" si="32"/>
        <v>11131.26</v>
      </c>
      <c r="Q56" s="47"/>
      <c r="R56" s="47">
        <f t="shared" si="31"/>
        <v>161013.52000000002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2653.2</v>
      </c>
      <c r="F57" s="6">
        <f t="shared" si="33"/>
        <v>2781.8399999999997</v>
      </c>
      <c r="G57" s="6">
        <f t="shared" si="33"/>
        <v>2476.3199999999997</v>
      </c>
      <c r="H57" s="6">
        <f t="shared" si="33"/>
        <v>2540.64</v>
      </c>
      <c r="I57" s="6">
        <f t="shared" si="33"/>
        <v>2556.72</v>
      </c>
      <c r="J57" s="6">
        <f t="shared" si="33"/>
        <v>2363.7599999999998</v>
      </c>
      <c r="K57" s="6">
        <f t="shared" si="33"/>
        <v>2781.8399999999997</v>
      </c>
      <c r="L57" s="6">
        <f t="shared" si="33"/>
        <v>2685.3599999999997</v>
      </c>
      <c r="M57" s="6">
        <f t="shared" si="33"/>
        <v>2476.3199999999997</v>
      </c>
      <c r="N57" s="6">
        <f t="shared" si="33"/>
        <v>2862.24</v>
      </c>
      <c r="O57" s="6">
        <f t="shared" si="33"/>
        <v>2653.2</v>
      </c>
      <c r="P57" s="6">
        <f t="shared" si="33"/>
        <v>1543.6799999999998</v>
      </c>
      <c r="Q57" s="47"/>
      <c r="R57" s="47">
        <f t="shared" si="31"/>
        <v>30375.12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177.87439999999998</v>
      </c>
      <c r="F59" s="6">
        <f t="shared" si="35"/>
        <v>186.5512</v>
      </c>
      <c r="G59" s="6">
        <f t="shared" si="35"/>
        <v>155.3936</v>
      </c>
      <c r="H59" s="6">
        <f t="shared" si="35"/>
        <v>165.25359999999998</v>
      </c>
      <c r="I59" s="6">
        <f t="shared" si="35"/>
        <v>203.51039999999998</v>
      </c>
      <c r="J59" s="6">
        <f t="shared" si="35"/>
        <v>199.5664</v>
      </c>
      <c r="K59" s="6">
        <f t="shared" si="35"/>
        <v>157.76</v>
      </c>
      <c r="L59" s="6">
        <f t="shared" si="35"/>
        <v>144.7448</v>
      </c>
      <c r="M59" s="6">
        <f t="shared" si="35"/>
        <v>154.99919999999997</v>
      </c>
      <c r="N59" s="6">
        <f t="shared" si="35"/>
        <v>185.76239999999999</v>
      </c>
      <c r="O59" s="6">
        <f t="shared" si="35"/>
        <v>164.4648</v>
      </c>
      <c r="P59" s="6">
        <f t="shared" si="35"/>
        <v>140.80079999999998</v>
      </c>
      <c r="Q59" s="47"/>
      <c r="R59" s="47">
        <f t="shared" si="31"/>
        <v>2036.6816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368.21444</v>
      </c>
      <c r="F60" s="6">
        <f t="shared" si="36"/>
        <v>386.17612</v>
      </c>
      <c r="G60" s="6">
        <f t="shared" si="36"/>
        <v>321.67736</v>
      </c>
      <c r="H60" s="6">
        <f t="shared" si="36"/>
        <v>342.08836</v>
      </c>
      <c r="I60" s="6">
        <f t="shared" si="36"/>
        <v>421.28304</v>
      </c>
      <c r="J60" s="6">
        <f t="shared" si="36"/>
        <v>413.11864</v>
      </c>
      <c r="K60" s="6">
        <f t="shared" si="36"/>
        <v>326.576</v>
      </c>
      <c r="L60" s="6">
        <f t="shared" si="36"/>
        <v>299.63348</v>
      </c>
      <c r="M60" s="6">
        <f t="shared" si="36"/>
        <v>320.86092</v>
      </c>
      <c r="N60" s="6">
        <f t="shared" si="36"/>
        <v>384.54324</v>
      </c>
      <c r="O60" s="6">
        <f t="shared" si="36"/>
        <v>340.45548</v>
      </c>
      <c r="P60" s="6">
        <f t="shared" si="36"/>
        <v>291.46908</v>
      </c>
      <c r="Q60" s="47"/>
      <c r="R60" s="47">
        <f t="shared" si="31"/>
        <v>4216.09616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174.988</v>
      </c>
      <c r="F61" s="6">
        <f aca="true" t="shared" si="37" ref="F61:P61">$D61*F$7</f>
        <v>183.524</v>
      </c>
      <c r="G61" s="6">
        <f t="shared" si="37"/>
        <v>152.872</v>
      </c>
      <c r="H61" s="6">
        <f t="shared" si="37"/>
        <v>162.572</v>
      </c>
      <c r="I61" s="6">
        <f t="shared" si="37"/>
        <v>200.208</v>
      </c>
      <c r="J61" s="6">
        <f t="shared" si="37"/>
        <v>196.328</v>
      </c>
      <c r="K61" s="6">
        <f t="shared" si="37"/>
        <v>155.20000000000002</v>
      </c>
      <c r="L61" s="6">
        <f t="shared" si="37"/>
        <v>142.39600000000002</v>
      </c>
      <c r="M61" s="6">
        <f t="shared" si="37"/>
        <v>152.484</v>
      </c>
      <c r="N61" s="6">
        <f t="shared" si="37"/>
        <v>182.74800000000002</v>
      </c>
      <c r="O61" s="6">
        <f t="shared" si="37"/>
        <v>161.79600000000002</v>
      </c>
      <c r="P61" s="6">
        <f t="shared" si="37"/>
        <v>138.51600000000002</v>
      </c>
      <c r="Q61" s="47"/>
      <c r="R61" s="47">
        <f t="shared" si="31"/>
        <v>2003.632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1785.8360422800004</v>
      </c>
      <c r="F62" s="6">
        <f aca="true" t="shared" si="38" ref="F62:P62">(SUM(F55:F61)-($D60+$C60)*F$7)*$D62</f>
        <v>1872.2180284400004</v>
      </c>
      <c r="G62" s="6">
        <f t="shared" si="38"/>
        <v>1585.2479083199994</v>
      </c>
      <c r="H62" s="6">
        <f t="shared" si="38"/>
        <v>1671.2568693199996</v>
      </c>
      <c r="I62" s="6">
        <f t="shared" si="38"/>
        <v>1970.3112944799998</v>
      </c>
      <c r="J62" s="6">
        <f t="shared" si="38"/>
        <v>1911.0821196800002</v>
      </c>
      <c r="K62" s="6">
        <f t="shared" si="38"/>
        <v>1648.95291</v>
      </c>
      <c r="L62" s="6">
        <f t="shared" si="38"/>
        <v>1533.7023867600005</v>
      </c>
      <c r="M62" s="6">
        <f t="shared" si="38"/>
        <v>1582.18948204</v>
      </c>
      <c r="N62" s="6">
        <f t="shared" si="38"/>
        <v>1878.0365558799997</v>
      </c>
      <c r="O62" s="6">
        <f t="shared" si="38"/>
        <v>1681.8495487600005</v>
      </c>
      <c r="P62" s="6">
        <f t="shared" si="38"/>
        <v>1333.6357279599997</v>
      </c>
      <c r="Q62" s="47"/>
      <c r="R62" s="47">
        <f t="shared" si="31"/>
        <v>20454.318873919998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19307.292882280002</v>
      </c>
      <c r="F67" s="52">
        <f aca="true" t="shared" si="43" ref="F67:P67">SUM(F55:F66)</f>
        <v>20243.449348440005</v>
      </c>
      <c r="G67" s="52">
        <f t="shared" si="43"/>
        <v>17061.430868319996</v>
      </c>
      <c r="H67" s="52">
        <f t="shared" si="43"/>
        <v>18031.23082932</v>
      </c>
      <c r="I67" s="52">
        <f t="shared" si="43"/>
        <v>21525.91273448</v>
      </c>
      <c r="J67" s="52">
        <f t="shared" si="43"/>
        <v>20945.93515968</v>
      </c>
      <c r="K67" s="52">
        <f t="shared" si="43"/>
        <v>17627.32891</v>
      </c>
      <c r="L67" s="52">
        <f t="shared" si="43"/>
        <v>16333.896666760003</v>
      </c>
      <c r="M67" s="52">
        <f t="shared" si="43"/>
        <v>17025.59360204</v>
      </c>
      <c r="N67" s="52">
        <f t="shared" si="43"/>
        <v>20264.11019588</v>
      </c>
      <c r="O67" s="52">
        <f t="shared" si="43"/>
        <v>18088.825828760004</v>
      </c>
      <c r="P67" s="52">
        <f t="shared" si="43"/>
        <v>14664.36160796</v>
      </c>
      <c r="Q67" s="53"/>
      <c r="R67" s="54">
        <f>SUM(E67:P67)</f>
        <v>221119.36863392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12655.962000000001</v>
      </c>
      <c r="F72" s="6">
        <f t="shared" si="46"/>
        <v>13273.326000000001</v>
      </c>
      <c r="G72" s="6">
        <f t="shared" si="46"/>
        <v>11056.428000000002</v>
      </c>
      <c r="H72" s="6">
        <f t="shared" si="46"/>
        <v>11757.978000000001</v>
      </c>
      <c r="I72" s="6">
        <f t="shared" si="46"/>
        <v>14479.992000000002</v>
      </c>
      <c r="J72" s="6">
        <f t="shared" si="46"/>
        <v>14199.372000000001</v>
      </c>
      <c r="K72" s="6">
        <f t="shared" si="46"/>
        <v>11224.800000000001</v>
      </c>
      <c r="L72" s="6">
        <f t="shared" si="46"/>
        <v>10298.754</v>
      </c>
      <c r="M72" s="6">
        <f t="shared" si="46"/>
        <v>11028.366000000002</v>
      </c>
      <c r="N72" s="6">
        <f t="shared" si="46"/>
        <v>13217.202000000001</v>
      </c>
      <c r="O72" s="6">
        <f t="shared" si="46"/>
        <v>11701.854000000001</v>
      </c>
      <c r="P72" s="6">
        <f t="shared" si="46"/>
        <v>10018.134000000002</v>
      </c>
      <c r="Q72" s="47"/>
      <c r="R72" s="47">
        <f t="shared" si="45"/>
        <v>144912.168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2387.88</v>
      </c>
      <c r="F73" s="6">
        <f t="shared" si="47"/>
        <v>2503.656</v>
      </c>
      <c r="G73" s="6">
        <f t="shared" si="47"/>
        <v>2228.688</v>
      </c>
      <c r="H73" s="6">
        <f t="shared" si="47"/>
        <v>2286.576</v>
      </c>
      <c r="I73" s="6">
        <f t="shared" si="47"/>
        <v>2301.048</v>
      </c>
      <c r="J73" s="6">
        <f t="shared" si="47"/>
        <v>2127.384</v>
      </c>
      <c r="K73" s="6">
        <f t="shared" si="47"/>
        <v>2503.656</v>
      </c>
      <c r="L73" s="6">
        <f t="shared" si="47"/>
        <v>2416.824</v>
      </c>
      <c r="M73" s="6">
        <f t="shared" si="47"/>
        <v>2228.688</v>
      </c>
      <c r="N73" s="6">
        <f t="shared" si="47"/>
        <v>2576.016</v>
      </c>
      <c r="O73" s="6">
        <f t="shared" si="47"/>
        <v>2387.88</v>
      </c>
      <c r="P73" s="6">
        <f t="shared" si="47"/>
        <v>1389.312</v>
      </c>
      <c r="Q73" s="47"/>
      <c r="R73" s="47">
        <f t="shared" si="45"/>
        <v>27337.608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368.21444</v>
      </c>
      <c r="F75" s="6">
        <f t="shared" si="49"/>
        <v>386.17612</v>
      </c>
      <c r="G75" s="6">
        <f t="shared" si="49"/>
        <v>321.67736</v>
      </c>
      <c r="H75" s="6">
        <f t="shared" si="49"/>
        <v>342.08836</v>
      </c>
      <c r="I75" s="6">
        <f t="shared" si="49"/>
        <v>421.28304</v>
      </c>
      <c r="J75" s="6">
        <f t="shared" si="49"/>
        <v>413.11864</v>
      </c>
      <c r="K75" s="6">
        <f t="shared" si="49"/>
        <v>326.576</v>
      </c>
      <c r="L75" s="6">
        <f t="shared" si="49"/>
        <v>299.63348</v>
      </c>
      <c r="M75" s="6">
        <f t="shared" si="49"/>
        <v>320.86092</v>
      </c>
      <c r="N75" s="6">
        <f t="shared" si="49"/>
        <v>384.54324</v>
      </c>
      <c r="O75" s="6">
        <f t="shared" si="49"/>
        <v>340.45548</v>
      </c>
      <c r="P75" s="6">
        <f t="shared" si="49"/>
        <v>291.46908</v>
      </c>
      <c r="Q75" s="47"/>
      <c r="R75" s="47">
        <f t="shared" si="45"/>
        <v>4216.09616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177.87439999999998</v>
      </c>
      <c r="F76" s="6">
        <f t="shared" si="50"/>
        <v>186.5512</v>
      </c>
      <c r="G76" s="6">
        <f t="shared" si="50"/>
        <v>155.3936</v>
      </c>
      <c r="H76" s="6">
        <f t="shared" si="50"/>
        <v>165.25359999999998</v>
      </c>
      <c r="I76" s="6">
        <f t="shared" si="50"/>
        <v>203.51039999999998</v>
      </c>
      <c r="J76" s="6">
        <f t="shared" si="50"/>
        <v>199.5664</v>
      </c>
      <c r="K76" s="6">
        <f t="shared" si="50"/>
        <v>157.76</v>
      </c>
      <c r="L76" s="6">
        <f t="shared" si="50"/>
        <v>144.7448</v>
      </c>
      <c r="M76" s="6">
        <f t="shared" si="50"/>
        <v>154.99919999999997</v>
      </c>
      <c r="N76" s="6">
        <f t="shared" si="50"/>
        <v>185.76239999999999</v>
      </c>
      <c r="O76" s="6">
        <f t="shared" si="50"/>
        <v>164.4648</v>
      </c>
      <c r="P76" s="6">
        <f t="shared" si="50"/>
        <v>140.80079999999998</v>
      </c>
      <c r="Q76" s="47"/>
      <c r="R76" s="47">
        <f t="shared" si="45"/>
        <v>2036.6816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213.23280000000003</v>
      </c>
      <c r="F77" s="6">
        <f aca="true" t="shared" si="51" ref="F77:P77">$D77*F$7</f>
        <v>223.63440000000003</v>
      </c>
      <c r="G77" s="6">
        <f t="shared" si="51"/>
        <v>186.28320000000002</v>
      </c>
      <c r="H77" s="6">
        <f t="shared" si="51"/>
        <v>198.10320000000002</v>
      </c>
      <c r="I77" s="6">
        <f t="shared" si="51"/>
        <v>243.96480000000003</v>
      </c>
      <c r="J77" s="6">
        <f t="shared" si="51"/>
        <v>239.23680000000002</v>
      </c>
      <c r="K77" s="6">
        <f t="shared" si="51"/>
        <v>189.12</v>
      </c>
      <c r="L77" s="6">
        <f t="shared" si="51"/>
        <v>173.51760000000002</v>
      </c>
      <c r="M77" s="6">
        <f t="shared" si="51"/>
        <v>185.81040000000002</v>
      </c>
      <c r="N77" s="6">
        <f t="shared" si="51"/>
        <v>222.68880000000001</v>
      </c>
      <c r="O77" s="6">
        <f t="shared" si="51"/>
        <v>197.15760000000003</v>
      </c>
      <c r="P77" s="6">
        <f t="shared" si="51"/>
        <v>168.7896</v>
      </c>
      <c r="Q77" s="47"/>
      <c r="R77" s="47">
        <f t="shared" si="45"/>
        <v>2441.5392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250.756</v>
      </c>
      <c r="F80" s="6">
        <f t="shared" si="54"/>
        <v>262.988</v>
      </c>
      <c r="G80" s="6">
        <f t="shared" si="54"/>
        <v>219.064</v>
      </c>
      <c r="H80" s="6">
        <f t="shared" si="54"/>
        <v>232.964</v>
      </c>
      <c r="I80" s="6">
        <f t="shared" si="54"/>
        <v>286.896</v>
      </c>
      <c r="J80" s="6">
        <f t="shared" si="54"/>
        <v>281.336</v>
      </c>
      <c r="K80" s="6">
        <f t="shared" si="54"/>
        <v>222.4</v>
      </c>
      <c r="L80" s="6">
        <f t="shared" si="54"/>
        <v>204.052</v>
      </c>
      <c r="M80" s="6">
        <f t="shared" si="54"/>
        <v>218.50799999999998</v>
      </c>
      <c r="N80" s="6">
        <f t="shared" si="54"/>
        <v>261.876</v>
      </c>
      <c r="O80" s="6">
        <f t="shared" si="54"/>
        <v>231.852</v>
      </c>
      <c r="P80" s="6">
        <f t="shared" si="54"/>
        <v>198.492</v>
      </c>
      <c r="Q80" s="47"/>
      <c r="R80" s="47">
        <f t="shared" si="45"/>
        <v>2871.184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297</v>
      </c>
      <c r="F81" s="6">
        <f t="shared" si="55"/>
        <v>311.40000000000003</v>
      </c>
      <c r="G81" s="6">
        <f t="shared" si="55"/>
        <v>277.2</v>
      </c>
      <c r="H81" s="6">
        <f t="shared" si="55"/>
        <v>284.40000000000003</v>
      </c>
      <c r="I81" s="6">
        <f t="shared" si="55"/>
        <v>286.2</v>
      </c>
      <c r="J81" s="6">
        <f t="shared" si="55"/>
        <v>264.6</v>
      </c>
      <c r="K81" s="6">
        <f t="shared" si="55"/>
        <v>311.40000000000003</v>
      </c>
      <c r="L81" s="6">
        <f t="shared" si="55"/>
        <v>300.6</v>
      </c>
      <c r="M81" s="6">
        <f t="shared" si="55"/>
        <v>277.2</v>
      </c>
      <c r="N81" s="6">
        <f t="shared" si="55"/>
        <v>320.40000000000003</v>
      </c>
      <c r="O81" s="6">
        <f t="shared" si="55"/>
        <v>297</v>
      </c>
      <c r="P81" s="6">
        <f t="shared" si="55"/>
        <v>172.8</v>
      </c>
      <c r="Q81" s="47"/>
      <c r="R81" s="47">
        <f t="shared" si="45"/>
        <v>3400.2000000000003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681.8092174744</v>
      </c>
      <c r="F82" s="6">
        <f t="shared" si="56"/>
        <v>714.7599946032002</v>
      </c>
      <c r="G82" s="6">
        <f t="shared" si="56"/>
        <v>606.2972545396</v>
      </c>
      <c r="H82" s="6">
        <f t="shared" si="56"/>
        <v>638.5806812855998</v>
      </c>
      <c r="I82" s="6">
        <f t="shared" si="56"/>
        <v>749.1214997564001</v>
      </c>
      <c r="J82" s="6">
        <f t="shared" si="56"/>
        <v>725.6656825043999</v>
      </c>
      <c r="K82" s="6">
        <f t="shared" si="56"/>
        <v>632.3323669420002</v>
      </c>
      <c r="L82" s="6">
        <f t="shared" si="56"/>
        <v>588.9883819528001</v>
      </c>
      <c r="M82" s="6">
        <f t="shared" si="56"/>
        <v>605.1681089552001</v>
      </c>
      <c r="N82" s="6">
        <f t="shared" si="56"/>
        <v>717.5701873544003</v>
      </c>
      <c r="O82" s="6">
        <f t="shared" si="56"/>
        <v>643.4182676048001</v>
      </c>
      <c r="P82" s="6">
        <f t="shared" si="56"/>
        <v>505.72445444480013</v>
      </c>
      <c r="Q82" s="47"/>
      <c r="R82" s="47">
        <f t="shared" si="45"/>
        <v>7809.4360974176025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1072.8560309704</v>
      </c>
      <c r="F83" s="6">
        <f t="shared" si="57"/>
        <v>1124.7054912912004</v>
      </c>
      <c r="G83" s="6">
        <f t="shared" si="57"/>
        <v>954.0347203036</v>
      </c>
      <c r="H83" s="6">
        <f t="shared" si="57"/>
        <v>1004.8340761895997</v>
      </c>
      <c r="I83" s="6">
        <f t="shared" si="57"/>
        <v>1178.7747926324002</v>
      </c>
      <c r="J83" s="6">
        <f t="shared" si="57"/>
        <v>1141.8660587004</v>
      </c>
      <c r="K83" s="6">
        <f t="shared" si="57"/>
        <v>995.0020857220004</v>
      </c>
      <c r="L83" s="6">
        <f t="shared" si="57"/>
        <v>926.7984673048002</v>
      </c>
      <c r="M83" s="6">
        <f t="shared" si="57"/>
        <v>952.2579613232001</v>
      </c>
      <c r="N83" s="6">
        <f t="shared" si="57"/>
        <v>1129.1274500504005</v>
      </c>
      <c r="O83" s="6">
        <f t="shared" si="57"/>
        <v>1012.4462256368002</v>
      </c>
      <c r="P83" s="6">
        <f t="shared" si="57"/>
        <v>795.7791080768003</v>
      </c>
      <c r="R83" s="47">
        <f t="shared" si="45"/>
        <v>12288.482468201602</v>
      </c>
      <c r="S83" s="20"/>
    </row>
    <row r="84" spans="1:18" ht="15.75" thickBot="1">
      <c r="A84" s="40"/>
      <c r="D84" s="9" t="s">
        <v>24</v>
      </c>
      <c r="E84" s="52">
        <f>SUM(E71:E83)</f>
        <v>18190.734888444804</v>
      </c>
      <c r="F84" s="52">
        <f aca="true" t="shared" si="58" ref="F84:P84">SUM(F71:F83)</f>
        <v>19072.347205894403</v>
      </c>
      <c r="G84" s="52">
        <f t="shared" si="58"/>
        <v>16090.216134843202</v>
      </c>
      <c r="H84" s="52">
        <f t="shared" si="58"/>
        <v>16995.927917475197</v>
      </c>
      <c r="I84" s="52">
        <f t="shared" si="58"/>
        <v>20235.940532388802</v>
      </c>
      <c r="J84" s="52">
        <f t="shared" si="58"/>
        <v>19677.295581204802</v>
      </c>
      <c r="K84" s="52">
        <f t="shared" si="58"/>
        <v>16648.196452664004</v>
      </c>
      <c r="L84" s="52">
        <f t="shared" si="58"/>
        <v>15439.062729257601</v>
      </c>
      <c r="M84" s="52">
        <f t="shared" si="58"/>
        <v>16057.008590278401</v>
      </c>
      <c r="N84" s="52">
        <f t="shared" si="58"/>
        <v>19100.336077404805</v>
      </c>
      <c r="O84" s="52">
        <f t="shared" si="58"/>
        <v>17061.6783732416</v>
      </c>
      <c r="P84" s="52">
        <f t="shared" si="58"/>
        <v>13766.451042521603</v>
      </c>
      <c r="Q84" s="53"/>
      <c r="R84" s="54">
        <f>SUM(E84:P84)</f>
        <v>208335.1955256192</v>
      </c>
    </row>
  </sheetData>
  <sheetProtection/>
  <mergeCells count="5">
    <mergeCell ref="A1:D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85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94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104406</v>
      </c>
      <c r="F7" s="75">
        <v>108407</v>
      </c>
      <c r="G7" s="75">
        <v>92007</v>
      </c>
      <c r="H7" s="75">
        <v>101606</v>
      </c>
      <c r="I7" s="75">
        <v>134008</v>
      </c>
      <c r="J7" s="75">
        <v>135608</v>
      </c>
      <c r="K7" s="75">
        <v>110008</v>
      </c>
      <c r="L7" s="75">
        <v>94415</v>
      </c>
      <c r="M7" s="75">
        <v>98408</v>
      </c>
      <c r="N7" s="75">
        <v>106425</v>
      </c>
      <c r="O7" s="75">
        <v>92006</v>
      </c>
      <c r="P7" s="75">
        <v>80406</v>
      </c>
      <c r="R7" s="4">
        <f>SUM(E7:P7)</f>
        <v>1257710</v>
      </c>
      <c r="S7" s="15">
        <f>R7/(8760*MAX(E10:P10))</f>
        <v>0.3148557037571097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456</v>
      </c>
      <c r="C10" s="34"/>
      <c r="D10" s="10" t="s">
        <v>5</v>
      </c>
      <c r="E10" s="76">
        <v>396</v>
      </c>
      <c r="F10" s="76">
        <v>420</v>
      </c>
      <c r="G10" s="76">
        <v>380</v>
      </c>
      <c r="H10" s="76">
        <v>404</v>
      </c>
      <c r="I10" s="76">
        <v>388</v>
      </c>
      <c r="J10" s="76">
        <v>380</v>
      </c>
      <c r="K10" s="76">
        <v>456</v>
      </c>
      <c r="L10" s="76">
        <v>424</v>
      </c>
      <c r="M10" s="76">
        <v>376</v>
      </c>
      <c r="N10" s="76">
        <v>424</v>
      </c>
      <c r="O10" s="76">
        <v>388</v>
      </c>
      <c r="P10" s="76">
        <v>244</v>
      </c>
      <c r="R10" s="4">
        <f>SUM(E10:P10)</f>
        <v>4680</v>
      </c>
      <c r="W10" s="15" t="s">
        <v>46</v>
      </c>
      <c r="X10" s="20"/>
    </row>
    <row r="11" spans="2:24" ht="15">
      <c r="B11" s="34">
        <f>MAX(E11:P11)</f>
        <v>456</v>
      </c>
      <c r="C11" s="34"/>
      <c r="D11" s="10" t="s">
        <v>6</v>
      </c>
      <c r="E11" s="76">
        <v>396</v>
      </c>
      <c r="F11" s="76">
        <v>420</v>
      </c>
      <c r="G11" s="76">
        <v>380</v>
      </c>
      <c r="H11" s="76">
        <v>404</v>
      </c>
      <c r="I11" s="76">
        <v>388</v>
      </c>
      <c r="J11" s="76">
        <v>380</v>
      </c>
      <c r="K11" s="76">
        <v>456</v>
      </c>
      <c r="L11" s="76">
        <v>424</v>
      </c>
      <c r="M11" s="76">
        <v>376</v>
      </c>
      <c r="N11" s="76">
        <v>424</v>
      </c>
      <c r="O11" s="76">
        <v>388</v>
      </c>
      <c r="P11" s="76">
        <v>244</v>
      </c>
      <c r="R11" s="4">
        <f>SUM(E11:P11)</f>
        <v>4680</v>
      </c>
      <c r="W11" s="15" t="s">
        <v>47</v>
      </c>
      <c r="X11" s="20"/>
    </row>
    <row r="12" spans="2:24" ht="15">
      <c r="B12" s="34">
        <f>MAX(E12:P12)</f>
        <v>456</v>
      </c>
      <c r="C12" s="34"/>
      <c r="D12" s="10" t="s">
        <v>7</v>
      </c>
      <c r="E12" s="76">
        <v>396</v>
      </c>
      <c r="F12" s="76">
        <v>420</v>
      </c>
      <c r="G12" s="76">
        <v>380</v>
      </c>
      <c r="H12" s="76">
        <v>404</v>
      </c>
      <c r="I12" s="76">
        <v>388</v>
      </c>
      <c r="J12" s="76">
        <v>380</v>
      </c>
      <c r="K12" s="76">
        <v>456</v>
      </c>
      <c r="L12" s="76">
        <v>424</v>
      </c>
      <c r="M12" s="76">
        <v>376</v>
      </c>
      <c r="N12" s="76">
        <v>424</v>
      </c>
      <c r="O12" s="76">
        <v>388</v>
      </c>
      <c r="P12" s="76">
        <v>244</v>
      </c>
      <c r="R12" s="4">
        <f>SUM(E12:P12)</f>
        <v>4680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8138.447700000001</v>
      </c>
      <c r="F56" s="6">
        <f t="shared" si="32"/>
        <v>8450.32565</v>
      </c>
      <c r="G56" s="6">
        <f t="shared" si="32"/>
        <v>7171.945650000001</v>
      </c>
      <c r="H56" s="6">
        <f t="shared" si="32"/>
        <v>7920.1877</v>
      </c>
      <c r="I56" s="6">
        <f t="shared" si="32"/>
        <v>10445.9236</v>
      </c>
      <c r="J56" s="6">
        <f t="shared" si="32"/>
        <v>10570.643600000001</v>
      </c>
      <c r="K56" s="6">
        <f t="shared" si="32"/>
        <v>8575.1236</v>
      </c>
      <c r="L56" s="6">
        <f t="shared" si="32"/>
        <v>7359.64925</v>
      </c>
      <c r="M56" s="6">
        <f t="shared" si="32"/>
        <v>7670.903600000001</v>
      </c>
      <c r="N56" s="6">
        <f t="shared" si="32"/>
        <v>8295.82875</v>
      </c>
      <c r="O56" s="6">
        <f t="shared" si="32"/>
        <v>7171.867700000001</v>
      </c>
      <c r="P56" s="6">
        <f t="shared" si="32"/>
        <v>6267.6477</v>
      </c>
      <c r="Q56" s="47"/>
      <c r="R56" s="47">
        <f t="shared" si="31"/>
        <v>98038.49450000002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1591.9199999999998</v>
      </c>
      <c r="F57" s="6">
        <f t="shared" si="33"/>
        <v>1688.3999999999999</v>
      </c>
      <c r="G57" s="6">
        <f t="shared" si="33"/>
        <v>1527.6</v>
      </c>
      <c r="H57" s="6">
        <f t="shared" si="33"/>
        <v>1624.08</v>
      </c>
      <c r="I57" s="6">
        <f t="shared" si="33"/>
        <v>1559.7599999999998</v>
      </c>
      <c r="J57" s="6">
        <f t="shared" si="33"/>
        <v>1527.6</v>
      </c>
      <c r="K57" s="6">
        <f t="shared" si="33"/>
        <v>1833.12</v>
      </c>
      <c r="L57" s="6">
        <f t="shared" si="33"/>
        <v>1704.4799999999998</v>
      </c>
      <c r="M57" s="6">
        <f t="shared" si="33"/>
        <v>1511.5199999999998</v>
      </c>
      <c r="N57" s="6">
        <f t="shared" si="33"/>
        <v>1704.4799999999998</v>
      </c>
      <c r="O57" s="6">
        <f t="shared" si="33"/>
        <v>1559.7599999999998</v>
      </c>
      <c r="P57" s="6">
        <f t="shared" si="33"/>
        <v>980.8799999999999</v>
      </c>
      <c r="Q57" s="47"/>
      <c r="R57" s="47">
        <f t="shared" si="31"/>
        <v>18813.6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102.94431599999999</v>
      </c>
      <c r="F59" s="6">
        <f t="shared" si="35"/>
        <v>106.88930199999999</v>
      </c>
      <c r="G59" s="6">
        <f t="shared" si="35"/>
        <v>90.71890199999999</v>
      </c>
      <c r="H59" s="6">
        <f t="shared" si="35"/>
        <v>100.18351599999998</v>
      </c>
      <c r="I59" s="6">
        <f t="shared" si="35"/>
        <v>132.13188799999998</v>
      </c>
      <c r="J59" s="6">
        <f t="shared" si="35"/>
        <v>133.709488</v>
      </c>
      <c r="K59" s="6">
        <f t="shared" si="35"/>
        <v>108.46788799999999</v>
      </c>
      <c r="L59" s="6">
        <f t="shared" si="35"/>
        <v>93.09318999999999</v>
      </c>
      <c r="M59" s="6">
        <f t="shared" si="35"/>
        <v>97.03028799999998</v>
      </c>
      <c r="N59" s="6">
        <f t="shared" si="35"/>
        <v>104.93504999999999</v>
      </c>
      <c r="O59" s="6">
        <f t="shared" si="35"/>
        <v>90.71791599999999</v>
      </c>
      <c r="P59" s="6">
        <f t="shared" si="35"/>
        <v>79.28031599999998</v>
      </c>
      <c r="Q59" s="47"/>
      <c r="R59" s="47">
        <f t="shared" si="31"/>
        <v>1240.10206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213.1030866</v>
      </c>
      <c r="F60" s="6">
        <f t="shared" si="36"/>
        <v>221.26952770000003</v>
      </c>
      <c r="G60" s="6">
        <f t="shared" si="36"/>
        <v>187.79548770000002</v>
      </c>
      <c r="H60" s="6">
        <f t="shared" si="36"/>
        <v>207.3880066</v>
      </c>
      <c r="I60" s="6">
        <f t="shared" si="36"/>
        <v>273.5237288</v>
      </c>
      <c r="J60" s="6">
        <f t="shared" si="36"/>
        <v>276.7894888</v>
      </c>
      <c r="K60" s="6">
        <f t="shared" si="36"/>
        <v>224.5373288</v>
      </c>
      <c r="L60" s="6">
        <f t="shared" si="36"/>
        <v>192.71045650000002</v>
      </c>
      <c r="M60" s="6">
        <f t="shared" si="36"/>
        <v>200.8605688</v>
      </c>
      <c r="N60" s="6">
        <f t="shared" si="36"/>
        <v>217.22406750000002</v>
      </c>
      <c r="O60" s="6">
        <f t="shared" si="36"/>
        <v>187.7934466</v>
      </c>
      <c r="P60" s="6">
        <f t="shared" si="36"/>
        <v>164.1166866</v>
      </c>
      <c r="Q60" s="47"/>
      <c r="R60" s="47">
        <f t="shared" si="31"/>
        <v>2567.1118810000003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101.27382</v>
      </c>
      <c r="F61" s="6">
        <f aca="true" t="shared" si="37" ref="F61:P61">$D61*F$7</f>
        <v>105.15479</v>
      </c>
      <c r="G61" s="6">
        <f t="shared" si="37"/>
        <v>89.24679</v>
      </c>
      <c r="H61" s="6">
        <f t="shared" si="37"/>
        <v>98.55782</v>
      </c>
      <c r="I61" s="6">
        <f t="shared" si="37"/>
        <v>129.98776</v>
      </c>
      <c r="J61" s="6">
        <f t="shared" si="37"/>
        <v>131.53976</v>
      </c>
      <c r="K61" s="6">
        <f t="shared" si="37"/>
        <v>106.70776000000001</v>
      </c>
      <c r="L61" s="6">
        <f t="shared" si="37"/>
        <v>91.58255</v>
      </c>
      <c r="M61" s="6">
        <f t="shared" si="37"/>
        <v>95.45576</v>
      </c>
      <c r="N61" s="6">
        <f t="shared" si="37"/>
        <v>103.23225000000001</v>
      </c>
      <c r="O61" s="6">
        <f t="shared" si="37"/>
        <v>89.24582000000001</v>
      </c>
      <c r="P61" s="6">
        <f t="shared" si="37"/>
        <v>77.99382</v>
      </c>
      <c r="Q61" s="47"/>
      <c r="R61" s="47">
        <f t="shared" si="31"/>
        <v>1219.9787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1047.2339094742001</v>
      </c>
      <c r="F62" s="6">
        <f aca="true" t="shared" si="38" ref="F62:P62">(SUM(F55:F61)-($D60+$C60)*F$7)*$D62</f>
        <v>1092.1482743399001</v>
      </c>
      <c r="G62" s="6">
        <f t="shared" si="38"/>
        <v>942.8820368598998</v>
      </c>
      <c r="H62" s="6">
        <f t="shared" si="38"/>
        <v>1030.5990775142</v>
      </c>
      <c r="I62" s="6">
        <f t="shared" si="38"/>
        <v>1268.7985943256</v>
      </c>
      <c r="J62" s="6">
        <f t="shared" si="38"/>
        <v>1276.2581474456</v>
      </c>
      <c r="K62" s="6">
        <f t="shared" si="38"/>
        <v>1125.8733095255998</v>
      </c>
      <c r="L62" s="6">
        <f t="shared" si="38"/>
        <v>987.5515990654999</v>
      </c>
      <c r="M62" s="6">
        <f t="shared" si="38"/>
        <v>989.4374274056003</v>
      </c>
      <c r="N62" s="6">
        <f t="shared" si="38"/>
        <v>1079.3808481224996</v>
      </c>
      <c r="O62" s="6">
        <f t="shared" si="38"/>
        <v>947.6485427942</v>
      </c>
      <c r="P62" s="6">
        <f t="shared" si="38"/>
        <v>773.0194446742001</v>
      </c>
      <c r="Q62" s="47"/>
      <c r="R62" s="47">
        <f t="shared" si="31"/>
        <v>12560.831211547003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11279.9228320742</v>
      </c>
      <c r="F67" s="52">
        <f aca="true" t="shared" si="43" ref="F67:P67">SUM(F55:F66)</f>
        <v>11749.187544039902</v>
      </c>
      <c r="G67" s="52">
        <f t="shared" si="43"/>
        <v>10095.188866559898</v>
      </c>
      <c r="H67" s="52">
        <f t="shared" si="43"/>
        <v>11065.9961201142</v>
      </c>
      <c r="I67" s="52">
        <f t="shared" si="43"/>
        <v>13895.125571125602</v>
      </c>
      <c r="J67" s="52">
        <f t="shared" si="43"/>
        <v>14001.540484245601</v>
      </c>
      <c r="K67" s="52">
        <f t="shared" si="43"/>
        <v>12058.829886325599</v>
      </c>
      <c r="L67" s="52">
        <f t="shared" si="43"/>
        <v>10514.0670455655</v>
      </c>
      <c r="M67" s="52">
        <f t="shared" si="43"/>
        <v>10650.207644205602</v>
      </c>
      <c r="N67" s="52">
        <f t="shared" si="43"/>
        <v>11590.0809656225</v>
      </c>
      <c r="O67" s="52">
        <f t="shared" si="43"/>
        <v>10132.033425394202</v>
      </c>
      <c r="P67" s="52">
        <f t="shared" si="43"/>
        <v>8427.937967274202</v>
      </c>
      <c r="Q67" s="53"/>
      <c r="R67" s="54">
        <f>SUM(E67:P67)</f>
        <v>135460.118352547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7324.602930000001</v>
      </c>
      <c r="F72" s="6">
        <f t="shared" si="46"/>
        <v>7605.293085000001</v>
      </c>
      <c r="G72" s="6">
        <f t="shared" si="46"/>
        <v>6454.751085000001</v>
      </c>
      <c r="H72" s="6">
        <f t="shared" si="46"/>
        <v>7128.168930000001</v>
      </c>
      <c r="I72" s="6">
        <f t="shared" si="46"/>
        <v>9401.331240000001</v>
      </c>
      <c r="J72" s="6">
        <f t="shared" si="46"/>
        <v>9513.579240000001</v>
      </c>
      <c r="K72" s="6">
        <f t="shared" si="46"/>
        <v>7717.611240000001</v>
      </c>
      <c r="L72" s="6">
        <f t="shared" si="46"/>
        <v>6623.684325000001</v>
      </c>
      <c r="M72" s="6">
        <f t="shared" si="46"/>
        <v>6903.813240000001</v>
      </c>
      <c r="N72" s="6">
        <f t="shared" si="46"/>
        <v>7466.2458750000005</v>
      </c>
      <c r="O72" s="6">
        <f t="shared" si="46"/>
        <v>6454.68093</v>
      </c>
      <c r="P72" s="6">
        <f t="shared" si="46"/>
        <v>5640.882930000001</v>
      </c>
      <c r="Q72" s="47"/>
      <c r="R72" s="47">
        <f t="shared" si="45"/>
        <v>88234.64505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1432.728</v>
      </c>
      <c r="F73" s="6">
        <f t="shared" si="47"/>
        <v>1519.56</v>
      </c>
      <c r="G73" s="6">
        <f t="shared" si="47"/>
        <v>1374.84</v>
      </c>
      <c r="H73" s="6">
        <f t="shared" si="47"/>
        <v>1461.672</v>
      </c>
      <c r="I73" s="6">
        <f t="shared" si="47"/>
        <v>1403.7839999999999</v>
      </c>
      <c r="J73" s="6">
        <f t="shared" si="47"/>
        <v>1374.84</v>
      </c>
      <c r="K73" s="6">
        <f t="shared" si="47"/>
        <v>1649.808</v>
      </c>
      <c r="L73" s="6">
        <f t="shared" si="47"/>
        <v>1534.032</v>
      </c>
      <c r="M73" s="6">
        <f t="shared" si="47"/>
        <v>1360.368</v>
      </c>
      <c r="N73" s="6">
        <f t="shared" si="47"/>
        <v>1534.032</v>
      </c>
      <c r="O73" s="6">
        <f t="shared" si="47"/>
        <v>1403.7839999999999</v>
      </c>
      <c r="P73" s="6">
        <f t="shared" si="47"/>
        <v>882.7919999999999</v>
      </c>
      <c r="Q73" s="47"/>
      <c r="R73" s="47">
        <f t="shared" si="45"/>
        <v>16932.239999999998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213.1030866</v>
      </c>
      <c r="F75" s="6">
        <f t="shared" si="49"/>
        <v>221.26952770000003</v>
      </c>
      <c r="G75" s="6">
        <f t="shared" si="49"/>
        <v>187.79548770000002</v>
      </c>
      <c r="H75" s="6">
        <f t="shared" si="49"/>
        <v>207.3880066</v>
      </c>
      <c r="I75" s="6">
        <f t="shared" si="49"/>
        <v>273.5237288</v>
      </c>
      <c r="J75" s="6">
        <f t="shared" si="49"/>
        <v>276.7894888</v>
      </c>
      <c r="K75" s="6">
        <f t="shared" si="49"/>
        <v>224.5373288</v>
      </c>
      <c r="L75" s="6">
        <f t="shared" si="49"/>
        <v>192.71045650000002</v>
      </c>
      <c r="M75" s="6">
        <f t="shared" si="49"/>
        <v>200.8605688</v>
      </c>
      <c r="N75" s="6">
        <f t="shared" si="49"/>
        <v>217.22406750000002</v>
      </c>
      <c r="O75" s="6">
        <f t="shared" si="49"/>
        <v>187.7934466</v>
      </c>
      <c r="P75" s="6">
        <f t="shared" si="49"/>
        <v>164.1166866</v>
      </c>
      <c r="Q75" s="47"/>
      <c r="R75" s="47">
        <f t="shared" si="45"/>
        <v>2567.1118810000003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102.94431599999999</v>
      </c>
      <c r="F76" s="6">
        <f t="shared" si="50"/>
        <v>106.88930199999999</v>
      </c>
      <c r="G76" s="6">
        <f t="shared" si="50"/>
        <v>90.71890199999999</v>
      </c>
      <c r="H76" s="6">
        <f t="shared" si="50"/>
        <v>100.18351599999998</v>
      </c>
      <c r="I76" s="6">
        <f t="shared" si="50"/>
        <v>132.13188799999998</v>
      </c>
      <c r="J76" s="6">
        <f t="shared" si="50"/>
        <v>133.709488</v>
      </c>
      <c r="K76" s="6">
        <f t="shared" si="50"/>
        <v>108.46788799999999</v>
      </c>
      <c r="L76" s="6">
        <f t="shared" si="50"/>
        <v>93.09318999999999</v>
      </c>
      <c r="M76" s="6">
        <f t="shared" si="50"/>
        <v>97.03028799999998</v>
      </c>
      <c r="N76" s="6">
        <f t="shared" si="50"/>
        <v>104.93504999999999</v>
      </c>
      <c r="O76" s="6">
        <f t="shared" si="50"/>
        <v>90.71791599999999</v>
      </c>
      <c r="P76" s="6">
        <f t="shared" si="50"/>
        <v>79.28031599999998</v>
      </c>
      <c r="Q76" s="47"/>
      <c r="R76" s="47">
        <f t="shared" si="45"/>
        <v>1240.10206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123.40789200000002</v>
      </c>
      <c r="F77" s="6">
        <f aca="true" t="shared" si="51" ref="F77:P77">$D77*F$7</f>
        <v>128.137074</v>
      </c>
      <c r="G77" s="6">
        <f t="shared" si="51"/>
        <v>108.75227400000001</v>
      </c>
      <c r="H77" s="6">
        <f t="shared" si="51"/>
        <v>120.09829200000001</v>
      </c>
      <c r="I77" s="6">
        <f t="shared" si="51"/>
        <v>158.397456</v>
      </c>
      <c r="J77" s="6">
        <f t="shared" si="51"/>
        <v>160.288656</v>
      </c>
      <c r="K77" s="6">
        <f t="shared" si="51"/>
        <v>130.029456</v>
      </c>
      <c r="L77" s="6">
        <f t="shared" si="51"/>
        <v>111.59853000000001</v>
      </c>
      <c r="M77" s="6">
        <f t="shared" si="51"/>
        <v>116.318256</v>
      </c>
      <c r="N77" s="6">
        <f t="shared" si="51"/>
        <v>125.79435000000001</v>
      </c>
      <c r="O77" s="6">
        <f t="shared" si="51"/>
        <v>108.75109200000001</v>
      </c>
      <c r="P77" s="6">
        <f t="shared" si="51"/>
        <v>95.03989200000001</v>
      </c>
      <c r="Q77" s="47"/>
      <c r="R77" s="47">
        <f t="shared" si="45"/>
        <v>1486.61322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145.12434</v>
      </c>
      <c r="F80" s="6">
        <f t="shared" si="54"/>
        <v>150.68573</v>
      </c>
      <c r="G80" s="6">
        <f t="shared" si="54"/>
        <v>127.88973</v>
      </c>
      <c r="H80" s="6">
        <f t="shared" si="54"/>
        <v>141.23234</v>
      </c>
      <c r="I80" s="6">
        <f t="shared" si="54"/>
        <v>186.27112</v>
      </c>
      <c r="J80" s="6">
        <f t="shared" si="54"/>
        <v>188.49512</v>
      </c>
      <c r="K80" s="6">
        <f t="shared" si="54"/>
        <v>152.91111999999998</v>
      </c>
      <c r="L80" s="6">
        <f t="shared" si="54"/>
        <v>131.23685</v>
      </c>
      <c r="M80" s="6">
        <f t="shared" si="54"/>
        <v>136.78712</v>
      </c>
      <c r="N80" s="6">
        <f t="shared" si="54"/>
        <v>147.93075</v>
      </c>
      <c r="O80" s="6">
        <f t="shared" si="54"/>
        <v>127.88834</v>
      </c>
      <c r="P80" s="6">
        <f t="shared" si="54"/>
        <v>111.76433999999999</v>
      </c>
      <c r="Q80" s="47"/>
      <c r="R80" s="47">
        <f t="shared" si="45"/>
        <v>1748.2169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178.20000000000002</v>
      </c>
      <c r="F81" s="6">
        <f t="shared" si="55"/>
        <v>189</v>
      </c>
      <c r="G81" s="6">
        <f t="shared" si="55"/>
        <v>171</v>
      </c>
      <c r="H81" s="6">
        <f t="shared" si="55"/>
        <v>181.8</v>
      </c>
      <c r="I81" s="6">
        <f t="shared" si="55"/>
        <v>174.6</v>
      </c>
      <c r="J81" s="6">
        <f t="shared" si="55"/>
        <v>171</v>
      </c>
      <c r="K81" s="6">
        <f t="shared" si="55"/>
        <v>205.20000000000002</v>
      </c>
      <c r="L81" s="6">
        <f t="shared" si="55"/>
        <v>190.8</v>
      </c>
      <c r="M81" s="6">
        <f t="shared" si="55"/>
        <v>169.20000000000002</v>
      </c>
      <c r="N81" s="6">
        <f t="shared" si="55"/>
        <v>190.8</v>
      </c>
      <c r="O81" s="6">
        <f t="shared" si="55"/>
        <v>174.6</v>
      </c>
      <c r="P81" s="6">
        <f t="shared" si="55"/>
        <v>109.8</v>
      </c>
      <c r="Q81" s="47"/>
      <c r="R81" s="47">
        <f t="shared" si="45"/>
        <v>2106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400.38450587816595</v>
      </c>
      <c r="F82" s="6">
        <f t="shared" si="56"/>
        <v>417.760965290127</v>
      </c>
      <c r="G82" s="6">
        <f t="shared" si="56"/>
        <v>361.32902848972714</v>
      </c>
      <c r="H82" s="6">
        <f t="shared" si="56"/>
        <v>394.50788035536596</v>
      </c>
      <c r="I82" s="6">
        <f t="shared" si="56"/>
        <v>481.91953128368806</v>
      </c>
      <c r="J82" s="6">
        <f t="shared" si="56"/>
        <v>484.408720053288</v>
      </c>
      <c r="K82" s="6">
        <f t="shared" si="56"/>
        <v>431.403641547688</v>
      </c>
      <c r="L82" s="6">
        <f t="shared" si="56"/>
        <v>379.2771495318149</v>
      </c>
      <c r="M82" s="6">
        <f t="shared" si="56"/>
        <v>378.38448392008826</v>
      </c>
      <c r="N82" s="6">
        <f t="shared" si="56"/>
        <v>413.1797457034248</v>
      </c>
      <c r="O82" s="6">
        <f t="shared" si="56"/>
        <v>363.35359919376594</v>
      </c>
      <c r="P82" s="6">
        <f t="shared" si="56"/>
        <v>294.11529302216604</v>
      </c>
      <c r="Q82" s="47"/>
      <c r="R82" s="47">
        <f t="shared" si="45"/>
        <v>4800.02454426931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630.0221833751059</v>
      </c>
      <c r="F83" s="6">
        <f t="shared" si="57"/>
        <v>657.364787140557</v>
      </c>
      <c r="G83" s="6">
        <f t="shared" si="57"/>
        <v>568.5667155041572</v>
      </c>
      <c r="H83" s="6">
        <f t="shared" si="57"/>
        <v>620.775061200306</v>
      </c>
      <c r="I83" s="6">
        <f t="shared" si="57"/>
        <v>758.3210410316082</v>
      </c>
      <c r="J83" s="6">
        <f t="shared" si="57"/>
        <v>762.2378862652081</v>
      </c>
      <c r="K83" s="6">
        <f t="shared" si="57"/>
        <v>678.832123055608</v>
      </c>
      <c r="L83" s="6">
        <f t="shared" si="57"/>
        <v>596.8088533501649</v>
      </c>
      <c r="M83" s="6">
        <f t="shared" si="57"/>
        <v>595.4042057440084</v>
      </c>
      <c r="N83" s="6">
        <f t="shared" si="57"/>
        <v>650.1560417366748</v>
      </c>
      <c r="O83" s="6">
        <f t="shared" si="57"/>
        <v>571.752464294706</v>
      </c>
      <c r="P83" s="6">
        <f t="shared" si="57"/>
        <v>462.8030214791061</v>
      </c>
      <c r="R83" s="47">
        <f t="shared" si="45"/>
        <v>7553.044384177209</v>
      </c>
      <c r="S83" s="20"/>
    </row>
    <row r="84" spans="1:18" ht="15.75" thickBot="1">
      <c r="A84" s="40"/>
      <c r="D84" s="9" t="s">
        <v>24</v>
      </c>
      <c r="E84" s="52">
        <f>SUM(E71:E83)</f>
        <v>10635.667253853271</v>
      </c>
      <c r="F84" s="52">
        <f aca="true" t="shared" si="58" ref="F84:P84">SUM(F71:F83)</f>
        <v>11081.110471130683</v>
      </c>
      <c r="G84" s="52">
        <f t="shared" si="58"/>
        <v>9530.793222693886</v>
      </c>
      <c r="H84" s="52">
        <f t="shared" si="58"/>
        <v>10440.976026155671</v>
      </c>
      <c r="I84" s="52">
        <f t="shared" si="58"/>
        <v>13055.430005115297</v>
      </c>
      <c r="J84" s="52">
        <f t="shared" si="58"/>
        <v>13150.498599118497</v>
      </c>
      <c r="K84" s="52">
        <f t="shared" si="58"/>
        <v>11383.950797403297</v>
      </c>
      <c r="L84" s="52">
        <f t="shared" si="58"/>
        <v>9938.39135438198</v>
      </c>
      <c r="M84" s="52">
        <f t="shared" si="58"/>
        <v>10043.316162464102</v>
      </c>
      <c r="N84" s="52">
        <f t="shared" si="58"/>
        <v>10935.447879940097</v>
      </c>
      <c r="O84" s="52">
        <f t="shared" si="58"/>
        <v>9568.471788088473</v>
      </c>
      <c r="P84" s="52">
        <f t="shared" si="58"/>
        <v>7925.744479101273</v>
      </c>
      <c r="Q84" s="53"/>
      <c r="R84" s="54">
        <f>SUM(E84:P84)</f>
        <v>127689.79803944654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E19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95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43440</v>
      </c>
      <c r="F7" s="75">
        <v>58080</v>
      </c>
      <c r="G7" s="75">
        <f>93360/2</f>
        <v>46680</v>
      </c>
      <c r="H7" s="75">
        <f>93360/2</f>
        <v>46680</v>
      </c>
      <c r="I7" s="75">
        <v>46080</v>
      </c>
      <c r="J7" s="75">
        <v>42480</v>
      </c>
      <c r="K7" s="75">
        <v>38640</v>
      </c>
      <c r="L7" s="75">
        <v>36720</v>
      </c>
      <c r="M7" s="75">
        <v>39000</v>
      </c>
      <c r="N7" s="75">
        <v>43800</v>
      </c>
      <c r="O7" s="75">
        <v>56280</v>
      </c>
      <c r="P7" s="75">
        <v>38760</v>
      </c>
      <c r="R7" s="4">
        <f>SUM(E7:P7)</f>
        <v>536640</v>
      </c>
      <c r="S7" s="15">
        <f>R7/(8760*MAX(E10:P10))</f>
        <v>0.3336616229444594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183.6</v>
      </c>
      <c r="C10" s="34"/>
      <c r="D10" s="10" t="s">
        <v>5</v>
      </c>
      <c r="E10" s="75">
        <v>111.6</v>
      </c>
      <c r="F10" s="75">
        <v>183.6</v>
      </c>
      <c r="G10" s="75">
        <f aca="true" t="shared" si="0" ref="G10:H12">327.6/2</f>
        <v>163.8</v>
      </c>
      <c r="H10" s="75">
        <f t="shared" si="0"/>
        <v>163.8</v>
      </c>
      <c r="I10" s="75">
        <v>126</v>
      </c>
      <c r="J10" s="75">
        <v>123.6</v>
      </c>
      <c r="K10" s="75">
        <v>121.2</v>
      </c>
      <c r="L10" s="75">
        <v>126</v>
      </c>
      <c r="M10" s="75">
        <v>118.8</v>
      </c>
      <c r="N10" s="75">
        <v>134.4</v>
      </c>
      <c r="O10" s="75">
        <v>180</v>
      </c>
      <c r="P10" s="75">
        <v>166.8</v>
      </c>
      <c r="R10" s="4">
        <f>SUM(E10:P10)</f>
        <v>1719.6</v>
      </c>
      <c r="W10" s="15" t="s">
        <v>46</v>
      </c>
      <c r="X10" s="20"/>
    </row>
    <row r="11" spans="2:24" ht="15">
      <c r="B11" s="34">
        <f>MAX(E11:P11)</f>
        <v>183.6</v>
      </c>
      <c r="C11" s="34"/>
      <c r="D11" s="10" t="s">
        <v>6</v>
      </c>
      <c r="E11" s="75">
        <v>111.6</v>
      </c>
      <c r="F11" s="75">
        <v>183.6</v>
      </c>
      <c r="G11" s="75">
        <f t="shared" si="0"/>
        <v>163.8</v>
      </c>
      <c r="H11" s="75">
        <f t="shared" si="0"/>
        <v>163.8</v>
      </c>
      <c r="I11" s="75">
        <v>126</v>
      </c>
      <c r="J11" s="75">
        <v>123.6</v>
      </c>
      <c r="K11" s="75">
        <v>121.2</v>
      </c>
      <c r="L11" s="75">
        <v>126</v>
      </c>
      <c r="M11" s="75">
        <v>118.8</v>
      </c>
      <c r="N11" s="75">
        <v>134.4</v>
      </c>
      <c r="O11" s="75">
        <v>180</v>
      </c>
      <c r="P11" s="75">
        <v>166.8</v>
      </c>
      <c r="R11" s="4">
        <f>SUM(E11:P11)</f>
        <v>1719.6</v>
      </c>
      <c r="W11" s="15" t="s">
        <v>47</v>
      </c>
      <c r="X11" s="20"/>
    </row>
    <row r="12" spans="2:24" ht="15">
      <c r="B12" s="34">
        <f>MAX(E12:P12)</f>
        <v>183.6</v>
      </c>
      <c r="C12" s="34"/>
      <c r="D12" s="10" t="s">
        <v>7</v>
      </c>
      <c r="E12" s="75">
        <v>111.6</v>
      </c>
      <c r="F12" s="75">
        <v>183.6</v>
      </c>
      <c r="G12" s="75">
        <f t="shared" si="0"/>
        <v>163.8</v>
      </c>
      <c r="H12" s="75">
        <f t="shared" si="0"/>
        <v>163.8</v>
      </c>
      <c r="I12" s="75">
        <v>126</v>
      </c>
      <c r="J12" s="75">
        <v>123.6</v>
      </c>
      <c r="K12" s="75">
        <v>121.2</v>
      </c>
      <c r="L12" s="75">
        <v>126</v>
      </c>
      <c r="M12" s="75">
        <v>118.8</v>
      </c>
      <c r="N12" s="75">
        <v>134.4</v>
      </c>
      <c r="O12" s="75">
        <v>180</v>
      </c>
      <c r="P12" s="75">
        <v>166.8</v>
      </c>
      <c r="R12" s="4">
        <f>SUM(E12:P12)</f>
        <v>1719.6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1" ref="F17:R17">F15-F16</f>
        <v>#REF!</v>
      </c>
      <c r="G17" s="28" t="e">
        <f t="shared" si="1"/>
        <v>#REF!</v>
      </c>
      <c r="H17" s="28" t="e">
        <f t="shared" si="1"/>
        <v>#REF!</v>
      </c>
      <c r="I17" s="28" t="e">
        <f t="shared" si="1"/>
        <v>#REF!</v>
      </c>
      <c r="J17" s="28" t="e">
        <f t="shared" si="1"/>
        <v>#REF!</v>
      </c>
      <c r="K17" s="28" t="e">
        <f t="shared" si="1"/>
        <v>#REF!</v>
      </c>
      <c r="L17" s="28" t="e">
        <f t="shared" si="1"/>
        <v>#REF!</v>
      </c>
      <c r="M17" s="28" t="e">
        <f t="shared" si="1"/>
        <v>#REF!</v>
      </c>
      <c r="N17" s="28" t="e">
        <f t="shared" si="1"/>
        <v>#REF!</v>
      </c>
      <c r="O17" s="28" t="e">
        <f t="shared" si="1"/>
        <v>#REF!</v>
      </c>
      <c r="P17" s="29" t="e">
        <f t="shared" si="1"/>
        <v>#REF!</v>
      </c>
      <c r="Q17" s="16"/>
      <c r="R17" s="28" t="e">
        <f t="shared" si="1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2" ref="F22:P22">IF(F$7&gt;0,$D$22,0)</f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6">
        <f t="shared" si="2"/>
        <v>0</v>
      </c>
      <c r="P22" s="6">
        <f t="shared" si="2"/>
        <v>0</v>
      </c>
      <c r="Q22" s="47"/>
      <c r="R22" s="47">
        <f aca="true" t="shared" si="3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4" ref="F23:P23">F$7*$D$23</f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47"/>
      <c r="R23" s="47">
        <f t="shared" si="3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5" ref="F24:P24">$D$24*F$10</f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47"/>
      <c r="R24" s="47">
        <f t="shared" si="3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6" ref="F25:P25">IF((1/F$13)*100&gt;1.15,($D$25*(F$10/F$13*100-1.15*F$10)),0)</f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Q25" s="47"/>
      <c r="R25" s="47">
        <f t="shared" si="3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7" ref="F26:P26">$D$26*F$7</f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6">
        <f t="shared" si="7"/>
        <v>0</v>
      </c>
      <c r="P26" s="6">
        <f t="shared" si="7"/>
        <v>0</v>
      </c>
      <c r="Q26" s="47"/>
      <c r="R26" s="47">
        <f t="shared" si="3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8" ref="F27:P27">F$7*$D$27</f>
        <v>0</v>
      </c>
      <c r="G27" s="6">
        <f t="shared" si="8"/>
        <v>0</v>
      </c>
      <c r="H27" s="6">
        <f t="shared" si="8"/>
        <v>0</v>
      </c>
      <c r="I27" s="6">
        <f t="shared" si="8"/>
        <v>0</v>
      </c>
      <c r="J27" s="6">
        <f t="shared" si="8"/>
        <v>0</v>
      </c>
      <c r="K27" s="6">
        <f t="shared" si="8"/>
        <v>0</v>
      </c>
      <c r="L27" s="6">
        <f t="shared" si="8"/>
        <v>0</v>
      </c>
      <c r="M27" s="6">
        <f t="shared" si="8"/>
        <v>0</v>
      </c>
      <c r="N27" s="6">
        <f t="shared" si="8"/>
        <v>0</v>
      </c>
      <c r="O27" s="6">
        <f t="shared" si="8"/>
        <v>0</v>
      </c>
      <c r="P27" s="6">
        <f t="shared" si="8"/>
        <v>0</v>
      </c>
      <c r="Q27" s="47"/>
      <c r="R27" s="47">
        <f t="shared" si="3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9" ref="F28:P28">$D28*F$7</f>
        <v>0</v>
      </c>
      <c r="G28" s="6">
        <f t="shared" si="9"/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6">
        <f t="shared" si="9"/>
        <v>0</v>
      </c>
      <c r="L28" s="6">
        <f t="shared" si="9"/>
        <v>0</v>
      </c>
      <c r="M28" s="6">
        <f t="shared" si="9"/>
        <v>0</v>
      </c>
      <c r="N28" s="6">
        <f t="shared" si="9"/>
        <v>0</v>
      </c>
      <c r="O28" s="6">
        <f t="shared" si="9"/>
        <v>0</v>
      </c>
      <c r="P28" s="6">
        <f t="shared" si="9"/>
        <v>0</v>
      </c>
      <c r="Q28" s="47"/>
      <c r="R28" s="47">
        <f t="shared" si="3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10" ref="F29:P29">(SUM(F22:F28)-($D27+$C27)*F$7)*$D29</f>
        <v>0</v>
      </c>
      <c r="G29" s="6">
        <f t="shared" si="10"/>
        <v>0</v>
      </c>
      <c r="H29" s="6">
        <f t="shared" si="10"/>
        <v>0</v>
      </c>
      <c r="I29" s="6">
        <f t="shared" si="10"/>
        <v>0</v>
      </c>
      <c r="J29" s="6">
        <f t="shared" si="10"/>
        <v>0</v>
      </c>
      <c r="K29" s="6">
        <f t="shared" si="10"/>
        <v>0</v>
      </c>
      <c r="L29" s="6">
        <f t="shared" si="10"/>
        <v>0</v>
      </c>
      <c r="M29" s="6">
        <f t="shared" si="10"/>
        <v>0</v>
      </c>
      <c r="N29" s="6">
        <f t="shared" si="10"/>
        <v>0</v>
      </c>
      <c r="O29" s="6">
        <f t="shared" si="10"/>
        <v>0</v>
      </c>
      <c r="P29" s="6">
        <f t="shared" si="10"/>
        <v>0</v>
      </c>
      <c r="Q29" s="47"/>
      <c r="R29" s="47">
        <f t="shared" si="3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1" ref="F30:P30">$D$30</f>
        <v>0</v>
      </c>
      <c r="G30" s="6">
        <f t="shared" si="11"/>
        <v>0</v>
      </c>
      <c r="H30" s="6">
        <f t="shared" si="11"/>
        <v>0</v>
      </c>
      <c r="I30" s="6">
        <f t="shared" si="11"/>
        <v>0</v>
      </c>
      <c r="J30" s="6">
        <f t="shared" si="11"/>
        <v>0</v>
      </c>
      <c r="K30" s="6">
        <f t="shared" si="11"/>
        <v>0</v>
      </c>
      <c r="L30" s="6">
        <f t="shared" si="11"/>
        <v>0</v>
      </c>
      <c r="M30" s="6">
        <f t="shared" si="11"/>
        <v>0</v>
      </c>
      <c r="N30" s="6">
        <f t="shared" si="11"/>
        <v>0</v>
      </c>
      <c r="O30" s="6">
        <f t="shared" si="11"/>
        <v>0</v>
      </c>
      <c r="P30" s="6">
        <f t="shared" si="11"/>
        <v>0</v>
      </c>
      <c r="Q30" s="47"/>
      <c r="R30" s="47">
        <f t="shared" si="3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2" ref="F31:P31">$D$31*F$7</f>
        <v>0</v>
      </c>
      <c r="G31" s="6">
        <f t="shared" si="12"/>
        <v>0</v>
      </c>
      <c r="H31" s="6">
        <f t="shared" si="12"/>
        <v>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Q31" s="47"/>
      <c r="R31" s="47">
        <f t="shared" si="3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3" ref="F32:P32">$D$32*(SUM(F22:F24)+F29+F30+F31-$C$60*F$7)</f>
        <v>0</v>
      </c>
      <c r="G32" s="6">
        <f t="shared" si="13"/>
        <v>0</v>
      </c>
      <c r="H32" s="6">
        <f t="shared" si="13"/>
        <v>0</v>
      </c>
      <c r="I32" s="6">
        <f t="shared" si="13"/>
        <v>0</v>
      </c>
      <c r="J32" s="6">
        <f t="shared" si="13"/>
        <v>0</v>
      </c>
      <c r="K32" s="6">
        <f t="shared" si="13"/>
        <v>0</v>
      </c>
      <c r="L32" s="6">
        <f t="shared" si="13"/>
        <v>0</v>
      </c>
      <c r="M32" s="6">
        <f t="shared" si="13"/>
        <v>0</v>
      </c>
      <c r="N32" s="6">
        <f t="shared" si="13"/>
        <v>0</v>
      </c>
      <c r="O32" s="6">
        <f t="shared" si="13"/>
        <v>0</v>
      </c>
      <c r="P32" s="6">
        <f t="shared" si="13"/>
        <v>0</v>
      </c>
      <c r="Q32" s="47"/>
      <c r="R32" s="47">
        <f t="shared" si="3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4" ref="F33:P33">$D$33*(SUM(F22:F24)+F29+F30+F31-$C$27*F$7)</f>
        <v>0</v>
      </c>
      <c r="G33" s="6">
        <f t="shared" si="14"/>
        <v>0</v>
      </c>
      <c r="H33" s="6">
        <f t="shared" si="14"/>
        <v>0</v>
      </c>
      <c r="I33" s="6">
        <f t="shared" si="14"/>
        <v>0</v>
      </c>
      <c r="J33" s="6">
        <f t="shared" si="14"/>
        <v>0</v>
      </c>
      <c r="K33" s="6">
        <f t="shared" si="14"/>
        <v>0</v>
      </c>
      <c r="L33" s="6">
        <f t="shared" si="14"/>
        <v>0</v>
      </c>
      <c r="M33" s="6">
        <f t="shared" si="14"/>
        <v>0</v>
      </c>
      <c r="N33" s="6">
        <f t="shared" si="14"/>
        <v>0</v>
      </c>
      <c r="O33" s="6">
        <f t="shared" si="14"/>
        <v>0</v>
      </c>
      <c r="P33" s="6">
        <f t="shared" si="14"/>
        <v>0</v>
      </c>
      <c r="R33" s="47">
        <f t="shared" si="3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5" ref="F34:P34">SUM(F22:F33)</f>
        <v>0</v>
      </c>
      <c r="G34" s="52">
        <f t="shared" si="15"/>
        <v>0</v>
      </c>
      <c r="H34" s="52">
        <f t="shared" si="15"/>
        <v>0</v>
      </c>
      <c r="I34" s="52">
        <f t="shared" si="15"/>
        <v>0</v>
      </c>
      <c r="J34" s="52">
        <f t="shared" si="15"/>
        <v>0</v>
      </c>
      <c r="K34" s="52">
        <f t="shared" si="15"/>
        <v>0</v>
      </c>
      <c r="L34" s="52">
        <f t="shared" si="15"/>
        <v>0</v>
      </c>
      <c r="M34" s="52">
        <f t="shared" si="15"/>
        <v>0</v>
      </c>
      <c r="N34" s="52">
        <f t="shared" si="15"/>
        <v>0</v>
      </c>
      <c r="O34" s="52">
        <f t="shared" si="15"/>
        <v>0</v>
      </c>
      <c r="P34" s="52">
        <f t="shared" si="15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6" ref="F37:P37">IF(F$7&gt;0,$D$71,0)</f>
        <v>85</v>
      </c>
      <c r="G37" s="6">
        <f t="shared" si="16"/>
        <v>85</v>
      </c>
      <c r="H37" s="6">
        <f t="shared" si="16"/>
        <v>85</v>
      </c>
      <c r="I37" s="6">
        <f t="shared" si="16"/>
        <v>85</v>
      </c>
      <c r="J37" s="6">
        <f t="shared" si="16"/>
        <v>85</v>
      </c>
      <c r="K37" s="6">
        <f t="shared" si="16"/>
        <v>85</v>
      </c>
      <c r="L37" s="6">
        <f t="shared" si="16"/>
        <v>85</v>
      </c>
      <c r="M37" s="6">
        <f t="shared" si="16"/>
        <v>85</v>
      </c>
      <c r="N37" s="6">
        <f t="shared" si="16"/>
        <v>85</v>
      </c>
      <c r="O37" s="6">
        <f t="shared" si="16"/>
        <v>85</v>
      </c>
      <c r="P37" s="6">
        <f t="shared" si="16"/>
        <v>85</v>
      </c>
      <c r="Q37" s="47"/>
      <c r="R37" s="47">
        <f aca="true" t="shared" si="17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8" ref="F38:P38">F$7*$D$38</f>
        <v>0</v>
      </c>
      <c r="G38" s="6">
        <f t="shared" si="18"/>
        <v>0</v>
      </c>
      <c r="H38" s="6">
        <f t="shared" si="18"/>
        <v>0</v>
      </c>
      <c r="I38" s="6">
        <f t="shared" si="18"/>
        <v>0</v>
      </c>
      <c r="J38" s="6">
        <f t="shared" si="18"/>
        <v>0</v>
      </c>
      <c r="K38" s="6">
        <f t="shared" si="18"/>
        <v>0</v>
      </c>
      <c r="L38" s="6">
        <f t="shared" si="18"/>
        <v>0</v>
      </c>
      <c r="M38" s="6">
        <f t="shared" si="18"/>
        <v>0</v>
      </c>
      <c r="N38" s="6">
        <f t="shared" si="18"/>
        <v>0</v>
      </c>
      <c r="O38" s="6">
        <f t="shared" si="18"/>
        <v>0</v>
      </c>
      <c r="P38" s="6">
        <f t="shared" si="18"/>
        <v>0</v>
      </c>
      <c r="Q38" s="47"/>
      <c r="R38" s="47">
        <f t="shared" si="17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9" ref="F39:P39">$D$39*F$10</f>
        <v>0</v>
      </c>
      <c r="G39" s="6">
        <f t="shared" si="19"/>
        <v>0</v>
      </c>
      <c r="H39" s="6">
        <f t="shared" si="19"/>
        <v>0</v>
      </c>
      <c r="I39" s="6">
        <f t="shared" si="19"/>
        <v>0</v>
      </c>
      <c r="J39" s="6">
        <f t="shared" si="19"/>
        <v>0</v>
      </c>
      <c r="K39" s="6">
        <f t="shared" si="19"/>
        <v>0</v>
      </c>
      <c r="L39" s="6">
        <f t="shared" si="19"/>
        <v>0</v>
      </c>
      <c r="M39" s="6">
        <f t="shared" si="19"/>
        <v>0</v>
      </c>
      <c r="N39" s="6">
        <f t="shared" si="19"/>
        <v>0</v>
      </c>
      <c r="O39" s="6">
        <f t="shared" si="19"/>
        <v>0</v>
      </c>
      <c r="P39" s="6">
        <f t="shared" si="19"/>
        <v>0</v>
      </c>
      <c r="Q39" s="47"/>
      <c r="R39" s="47">
        <f t="shared" si="17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20" ref="F40:P40">IF((1/F$13)*100&gt;1.15,($D$40*(F$10/F$13*100-1.15*F$10)),0)</f>
        <v>0</v>
      </c>
      <c r="G40" s="6">
        <f t="shared" si="20"/>
        <v>0</v>
      </c>
      <c r="H40" s="6">
        <f t="shared" si="20"/>
        <v>0</v>
      </c>
      <c r="I40" s="6">
        <f t="shared" si="20"/>
        <v>0</v>
      </c>
      <c r="J40" s="6">
        <f t="shared" si="20"/>
        <v>0</v>
      </c>
      <c r="K40" s="6">
        <f t="shared" si="20"/>
        <v>0</v>
      </c>
      <c r="L40" s="6">
        <f t="shared" si="20"/>
        <v>0</v>
      </c>
      <c r="M40" s="6">
        <f t="shared" si="20"/>
        <v>0</v>
      </c>
      <c r="N40" s="6">
        <f t="shared" si="20"/>
        <v>0</v>
      </c>
      <c r="O40" s="6">
        <f t="shared" si="20"/>
        <v>0</v>
      </c>
      <c r="P40" s="6">
        <f t="shared" si="20"/>
        <v>0</v>
      </c>
      <c r="Q40" s="47"/>
      <c r="R40" s="47">
        <f t="shared" si="17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1" ref="F41:P41">F$7*$D$41</f>
        <v>0</v>
      </c>
      <c r="G41" s="6">
        <f t="shared" si="21"/>
        <v>0</v>
      </c>
      <c r="H41" s="6">
        <f t="shared" si="21"/>
        <v>0</v>
      </c>
      <c r="I41" s="6">
        <f t="shared" si="21"/>
        <v>0</v>
      </c>
      <c r="J41" s="6">
        <f t="shared" si="21"/>
        <v>0</v>
      </c>
      <c r="K41" s="6">
        <f t="shared" si="21"/>
        <v>0</v>
      </c>
      <c r="L41" s="6">
        <f t="shared" si="21"/>
        <v>0</v>
      </c>
      <c r="M41" s="6">
        <f t="shared" si="21"/>
        <v>0</v>
      </c>
      <c r="N41" s="6">
        <f t="shared" si="21"/>
        <v>0</v>
      </c>
      <c r="O41" s="6">
        <f t="shared" si="21"/>
        <v>0</v>
      </c>
      <c r="P41" s="6">
        <f t="shared" si="21"/>
        <v>0</v>
      </c>
      <c r="Q41" s="47"/>
      <c r="R41" s="47">
        <f t="shared" si="17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2" ref="F42:P42">$D$42*F$7</f>
        <v>0</v>
      </c>
      <c r="G42" s="6">
        <f t="shared" si="22"/>
        <v>0</v>
      </c>
      <c r="H42" s="6">
        <f t="shared" si="22"/>
        <v>0</v>
      </c>
      <c r="I42" s="6">
        <f t="shared" si="22"/>
        <v>0</v>
      </c>
      <c r="J42" s="6">
        <f t="shared" si="22"/>
        <v>0</v>
      </c>
      <c r="K42" s="6">
        <f t="shared" si="22"/>
        <v>0</v>
      </c>
      <c r="L42" s="6">
        <f t="shared" si="22"/>
        <v>0</v>
      </c>
      <c r="M42" s="6">
        <f t="shared" si="22"/>
        <v>0</v>
      </c>
      <c r="N42" s="6">
        <f t="shared" si="22"/>
        <v>0</v>
      </c>
      <c r="O42" s="6">
        <f t="shared" si="22"/>
        <v>0</v>
      </c>
      <c r="P42" s="6">
        <f t="shared" si="22"/>
        <v>0</v>
      </c>
      <c r="Q42" s="47"/>
      <c r="R42" s="47">
        <f t="shared" si="17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3" ref="F43:P43">$D43*F$7</f>
        <v>0</v>
      </c>
      <c r="G43" s="6">
        <f t="shared" si="23"/>
        <v>0</v>
      </c>
      <c r="H43" s="6">
        <f t="shared" si="23"/>
        <v>0</v>
      </c>
      <c r="I43" s="6">
        <f t="shared" si="23"/>
        <v>0</v>
      </c>
      <c r="J43" s="6">
        <f t="shared" si="23"/>
        <v>0</v>
      </c>
      <c r="K43" s="6">
        <f t="shared" si="23"/>
        <v>0</v>
      </c>
      <c r="L43" s="6">
        <f t="shared" si="23"/>
        <v>0</v>
      </c>
      <c r="M43" s="6">
        <f t="shared" si="23"/>
        <v>0</v>
      </c>
      <c r="N43" s="6">
        <f t="shared" si="23"/>
        <v>0</v>
      </c>
      <c r="O43" s="6">
        <f t="shared" si="23"/>
        <v>0</v>
      </c>
      <c r="P43" s="6">
        <f t="shared" si="23"/>
        <v>0</v>
      </c>
      <c r="Q43" s="47"/>
      <c r="R43" s="47">
        <f t="shared" si="17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4" ref="F44:P44">(SUM(F37:F43)-($D41+$C41)*F$7)*$D44</f>
        <v>0</v>
      </c>
      <c r="G44" s="6">
        <f t="shared" si="24"/>
        <v>0</v>
      </c>
      <c r="H44" s="6">
        <f t="shared" si="24"/>
        <v>0</v>
      </c>
      <c r="I44" s="6">
        <f t="shared" si="24"/>
        <v>0</v>
      </c>
      <c r="J44" s="6">
        <f t="shared" si="24"/>
        <v>0</v>
      </c>
      <c r="K44" s="6">
        <f t="shared" si="24"/>
        <v>0</v>
      </c>
      <c r="L44" s="6">
        <f t="shared" si="24"/>
        <v>0</v>
      </c>
      <c r="M44" s="6">
        <f t="shared" si="24"/>
        <v>0</v>
      </c>
      <c r="N44" s="6">
        <f t="shared" si="24"/>
        <v>0</v>
      </c>
      <c r="O44" s="6">
        <f t="shared" si="24"/>
        <v>0</v>
      </c>
      <c r="P44" s="6">
        <f t="shared" si="24"/>
        <v>0</v>
      </c>
      <c r="Q44" s="47"/>
      <c r="R44" s="47">
        <f t="shared" si="17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5" ref="F45:P45">IF(F$7&gt;0,$D$45,0)</f>
        <v>0</v>
      </c>
      <c r="G45" s="6">
        <f t="shared" si="25"/>
        <v>0</v>
      </c>
      <c r="H45" s="6">
        <f t="shared" si="25"/>
        <v>0</v>
      </c>
      <c r="I45" s="6">
        <f t="shared" si="25"/>
        <v>0</v>
      </c>
      <c r="J45" s="6">
        <f t="shared" si="25"/>
        <v>0</v>
      </c>
      <c r="K45" s="6">
        <f t="shared" si="25"/>
        <v>0</v>
      </c>
      <c r="L45" s="6">
        <f t="shared" si="25"/>
        <v>0</v>
      </c>
      <c r="M45" s="6">
        <f t="shared" si="25"/>
        <v>0</v>
      </c>
      <c r="N45" s="6">
        <f t="shared" si="25"/>
        <v>0</v>
      </c>
      <c r="O45" s="6">
        <f t="shared" si="25"/>
        <v>0</v>
      </c>
      <c r="P45" s="6">
        <f t="shared" si="25"/>
        <v>0</v>
      </c>
      <c r="Q45" s="47"/>
      <c r="R45" s="47">
        <f t="shared" si="17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6" ref="F46:P46">$D$46*F$7</f>
        <v>0</v>
      </c>
      <c r="G46" s="6">
        <f t="shared" si="26"/>
        <v>0</v>
      </c>
      <c r="H46" s="6">
        <f t="shared" si="26"/>
        <v>0</v>
      </c>
      <c r="I46" s="6">
        <f t="shared" si="26"/>
        <v>0</v>
      </c>
      <c r="J46" s="6">
        <f t="shared" si="26"/>
        <v>0</v>
      </c>
      <c r="K46" s="6">
        <f t="shared" si="26"/>
        <v>0</v>
      </c>
      <c r="L46" s="6">
        <f t="shared" si="26"/>
        <v>0</v>
      </c>
      <c r="M46" s="6">
        <f t="shared" si="26"/>
        <v>0</v>
      </c>
      <c r="N46" s="6">
        <f t="shared" si="26"/>
        <v>0</v>
      </c>
      <c r="O46" s="6">
        <f t="shared" si="26"/>
        <v>0</v>
      </c>
      <c r="P46" s="6">
        <f t="shared" si="26"/>
        <v>0</v>
      </c>
      <c r="Q46" s="47"/>
      <c r="R46" s="47">
        <f t="shared" si="17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7" ref="F47:P47">$D$47*F$10</f>
        <v>0</v>
      </c>
      <c r="G47" s="6">
        <f t="shared" si="27"/>
        <v>0</v>
      </c>
      <c r="H47" s="6">
        <f t="shared" si="27"/>
        <v>0</v>
      </c>
      <c r="I47" s="6">
        <f t="shared" si="27"/>
        <v>0</v>
      </c>
      <c r="J47" s="6">
        <f t="shared" si="27"/>
        <v>0</v>
      </c>
      <c r="K47" s="6">
        <f t="shared" si="27"/>
        <v>0</v>
      </c>
      <c r="L47" s="6">
        <f t="shared" si="27"/>
        <v>0</v>
      </c>
      <c r="M47" s="6">
        <f t="shared" si="27"/>
        <v>0</v>
      </c>
      <c r="N47" s="6">
        <f t="shared" si="27"/>
        <v>0</v>
      </c>
      <c r="O47" s="6">
        <f t="shared" si="27"/>
        <v>0</v>
      </c>
      <c r="P47" s="6">
        <f t="shared" si="27"/>
        <v>0</v>
      </c>
      <c r="Q47" s="47"/>
      <c r="R47" s="47">
        <f t="shared" si="17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8" ref="F48:P48">$D48*(SUM(F37:F47)-($C$41+$D$41)*F$7)</f>
        <v>0</v>
      </c>
      <c r="G48" s="6">
        <f t="shared" si="28"/>
        <v>0</v>
      </c>
      <c r="H48" s="6">
        <f t="shared" si="28"/>
        <v>0</v>
      </c>
      <c r="I48" s="6">
        <f t="shared" si="28"/>
        <v>0</v>
      </c>
      <c r="J48" s="6">
        <f t="shared" si="28"/>
        <v>0</v>
      </c>
      <c r="K48" s="6">
        <f t="shared" si="28"/>
        <v>0</v>
      </c>
      <c r="L48" s="6">
        <f t="shared" si="28"/>
        <v>0</v>
      </c>
      <c r="M48" s="6">
        <f t="shared" si="28"/>
        <v>0</v>
      </c>
      <c r="N48" s="6">
        <f t="shared" si="28"/>
        <v>0</v>
      </c>
      <c r="O48" s="6">
        <f t="shared" si="28"/>
        <v>0</v>
      </c>
      <c r="P48" s="6">
        <f t="shared" si="28"/>
        <v>0</v>
      </c>
      <c r="Q48" s="47"/>
      <c r="R48" s="47">
        <f t="shared" si="17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9" ref="F49:P49">$D49*(SUM(F37:F47)-($C$41+$D$41)*F$7)</f>
        <v>0</v>
      </c>
      <c r="G49" s="6">
        <f t="shared" si="29"/>
        <v>0</v>
      </c>
      <c r="H49" s="6">
        <f t="shared" si="29"/>
        <v>0</v>
      </c>
      <c r="I49" s="6">
        <f t="shared" si="29"/>
        <v>0</v>
      </c>
      <c r="J49" s="6">
        <f t="shared" si="29"/>
        <v>0</v>
      </c>
      <c r="K49" s="6">
        <f t="shared" si="29"/>
        <v>0</v>
      </c>
      <c r="L49" s="6">
        <f t="shared" si="29"/>
        <v>0</v>
      </c>
      <c r="M49" s="6">
        <f t="shared" si="29"/>
        <v>0</v>
      </c>
      <c r="N49" s="6">
        <f t="shared" si="29"/>
        <v>0</v>
      </c>
      <c r="O49" s="6">
        <f t="shared" si="29"/>
        <v>0</v>
      </c>
      <c r="P49" s="6">
        <f t="shared" si="29"/>
        <v>0</v>
      </c>
      <c r="R49" s="47">
        <f t="shared" si="17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30" ref="F50:P50">SUM(F37:F49)</f>
        <v>85</v>
      </c>
      <c r="G50" s="52">
        <f t="shared" si="30"/>
        <v>85</v>
      </c>
      <c r="H50" s="52">
        <f t="shared" si="30"/>
        <v>85</v>
      </c>
      <c r="I50" s="52">
        <f t="shared" si="30"/>
        <v>85</v>
      </c>
      <c r="J50" s="52">
        <f t="shared" si="30"/>
        <v>85</v>
      </c>
      <c r="K50" s="52">
        <f t="shared" si="30"/>
        <v>85</v>
      </c>
      <c r="L50" s="52">
        <f t="shared" si="30"/>
        <v>85</v>
      </c>
      <c r="M50" s="52">
        <f t="shared" si="30"/>
        <v>85</v>
      </c>
      <c r="N50" s="52">
        <f t="shared" si="30"/>
        <v>85</v>
      </c>
      <c r="O50" s="52">
        <f t="shared" si="30"/>
        <v>85</v>
      </c>
      <c r="P50" s="52">
        <f t="shared" si="30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1" ref="E55:P55">IF(E$7&gt;0,$D$55,0)</f>
        <v>85</v>
      </c>
      <c r="F55" s="6">
        <f t="shared" si="31"/>
        <v>85</v>
      </c>
      <c r="G55" s="6">
        <f t="shared" si="31"/>
        <v>85</v>
      </c>
      <c r="H55" s="6">
        <f t="shared" si="31"/>
        <v>85</v>
      </c>
      <c r="I55" s="6">
        <f t="shared" si="31"/>
        <v>85</v>
      </c>
      <c r="J55" s="6">
        <f t="shared" si="31"/>
        <v>85</v>
      </c>
      <c r="K55" s="6">
        <f t="shared" si="31"/>
        <v>85</v>
      </c>
      <c r="L55" s="6">
        <f t="shared" si="31"/>
        <v>85</v>
      </c>
      <c r="M55" s="6">
        <f t="shared" si="31"/>
        <v>85</v>
      </c>
      <c r="N55" s="6">
        <f t="shared" si="31"/>
        <v>85</v>
      </c>
      <c r="O55" s="6">
        <f t="shared" si="31"/>
        <v>85</v>
      </c>
      <c r="P55" s="6">
        <f t="shared" si="31"/>
        <v>85</v>
      </c>
      <c r="Q55" s="47"/>
      <c r="R55" s="47">
        <f aca="true" t="shared" si="32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3" ref="E56:P56">E$7*$D$56</f>
        <v>3386.148</v>
      </c>
      <c r="F56" s="6">
        <f t="shared" si="33"/>
        <v>4527.336</v>
      </c>
      <c r="G56" s="6">
        <f t="shared" si="33"/>
        <v>3638.706</v>
      </c>
      <c r="H56" s="6">
        <f t="shared" si="33"/>
        <v>3638.706</v>
      </c>
      <c r="I56" s="6">
        <f t="shared" si="33"/>
        <v>3591.936</v>
      </c>
      <c r="J56" s="6">
        <f t="shared" si="33"/>
        <v>3311.3160000000003</v>
      </c>
      <c r="K56" s="6">
        <f t="shared" si="33"/>
        <v>3011.9880000000003</v>
      </c>
      <c r="L56" s="6">
        <f t="shared" si="33"/>
        <v>2862.324</v>
      </c>
      <c r="M56" s="6">
        <f t="shared" si="33"/>
        <v>3040.05</v>
      </c>
      <c r="N56" s="6">
        <f t="shared" si="33"/>
        <v>3414.21</v>
      </c>
      <c r="O56" s="6">
        <f t="shared" si="33"/>
        <v>4387.026000000001</v>
      </c>
      <c r="P56" s="6">
        <f t="shared" si="33"/>
        <v>3021.342</v>
      </c>
      <c r="Q56" s="47"/>
      <c r="R56" s="47">
        <f t="shared" si="32"/>
        <v>41831.087999999996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4" ref="E57:P57">$D$57*E$10</f>
        <v>448.63199999999995</v>
      </c>
      <c r="F57" s="6">
        <f t="shared" si="34"/>
        <v>738.0719999999999</v>
      </c>
      <c r="G57" s="6">
        <f t="shared" si="34"/>
        <v>658.476</v>
      </c>
      <c r="H57" s="6">
        <f t="shared" si="34"/>
        <v>658.476</v>
      </c>
      <c r="I57" s="6">
        <f t="shared" si="34"/>
        <v>506.5199999999999</v>
      </c>
      <c r="J57" s="6">
        <f t="shared" si="34"/>
        <v>496.8719999999999</v>
      </c>
      <c r="K57" s="6">
        <f t="shared" si="34"/>
        <v>487.22399999999993</v>
      </c>
      <c r="L57" s="6">
        <f t="shared" si="34"/>
        <v>506.5199999999999</v>
      </c>
      <c r="M57" s="6">
        <f t="shared" si="34"/>
        <v>477.57599999999996</v>
      </c>
      <c r="N57" s="6">
        <f t="shared" si="34"/>
        <v>540.288</v>
      </c>
      <c r="O57" s="6">
        <f t="shared" si="34"/>
        <v>723.5999999999999</v>
      </c>
      <c r="P57" s="6">
        <f t="shared" si="34"/>
        <v>670.536</v>
      </c>
      <c r="Q57" s="47"/>
      <c r="R57" s="47">
        <f t="shared" si="32"/>
        <v>6912.7919999999995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5" ref="E58:P58">IF((1/E$13)*100&gt;1.15,($D$58*(E$10/E$13*100-1.15*E$10)),0)</f>
        <v>0</v>
      </c>
      <c r="F58" s="6">
        <f t="shared" si="35"/>
        <v>0</v>
      </c>
      <c r="G58" s="6">
        <f t="shared" si="35"/>
        <v>0</v>
      </c>
      <c r="H58" s="6">
        <f t="shared" si="35"/>
        <v>0</v>
      </c>
      <c r="I58" s="6">
        <f t="shared" si="35"/>
        <v>0</v>
      </c>
      <c r="J58" s="6">
        <f t="shared" si="35"/>
        <v>0</v>
      </c>
      <c r="K58" s="6">
        <f t="shared" si="35"/>
        <v>0</v>
      </c>
      <c r="L58" s="6">
        <f t="shared" si="35"/>
        <v>0</v>
      </c>
      <c r="M58" s="6">
        <f t="shared" si="35"/>
        <v>0</v>
      </c>
      <c r="N58" s="6">
        <f t="shared" si="35"/>
        <v>0</v>
      </c>
      <c r="O58" s="6">
        <f t="shared" si="35"/>
        <v>0</v>
      </c>
      <c r="P58" s="6">
        <f t="shared" si="35"/>
        <v>0</v>
      </c>
      <c r="Q58" s="47"/>
      <c r="R58" s="47">
        <f t="shared" si="32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6" ref="E59:P59">$D$59*E$7</f>
        <v>42.83183999999999</v>
      </c>
      <c r="F59" s="6">
        <f t="shared" si="36"/>
        <v>57.26687999999999</v>
      </c>
      <c r="G59" s="6">
        <f t="shared" si="36"/>
        <v>46.02647999999999</v>
      </c>
      <c r="H59" s="6">
        <f t="shared" si="36"/>
        <v>46.02647999999999</v>
      </c>
      <c r="I59" s="6">
        <f t="shared" si="36"/>
        <v>45.43487999999999</v>
      </c>
      <c r="J59" s="6">
        <f t="shared" si="36"/>
        <v>41.885279999999995</v>
      </c>
      <c r="K59" s="6">
        <f t="shared" si="36"/>
        <v>38.099039999999995</v>
      </c>
      <c r="L59" s="6">
        <f t="shared" si="36"/>
        <v>36.20592</v>
      </c>
      <c r="M59" s="6">
        <f t="shared" si="36"/>
        <v>38.45399999999999</v>
      </c>
      <c r="N59" s="6">
        <f t="shared" si="36"/>
        <v>43.1868</v>
      </c>
      <c r="O59" s="6">
        <f t="shared" si="36"/>
        <v>55.492079999999994</v>
      </c>
      <c r="P59" s="6">
        <f t="shared" si="36"/>
        <v>38.21736</v>
      </c>
      <c r="Q59" s="47"/>
      <c r="R59" s="47">
        <f t="shared" si="32"/>
        <v>529.12704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7" ref="E60:P60">E$7*$D$60</f>
        <v>88.665384</v>
      </c>
      <c r="F60" s="6">
        <f t="shared" si="37"/>
        <v>118.547088</v>
      </c>
      <c r="G60" s="6">
        <f t="shared" si="37"/>
        <v>95.278548</v>
      </c>
      <c r="H60" s="6">
        <f t="shared" si="37"/>
        <v>95.278548</v>
      </c>
      <c r="I60" s="6">
        <f t="shared" si="37"/>
        <v>94.053888</v>
      </c>
      <c r="J60" s="6">
        <f t="shared" si="37"/>
        <v>86.705928</v>
      </c>
      <c r="K60" s="6">
        <f t="shared" si="37"/>
        <v>78.868104</v>
      </c>
      <c r="L60" s="6">
        <f t="shared" si="37"/>
        <v>74.94919200000001</v>
      </c>
      <c r="M60" s="6">
        <f t="shared" si="37"/>
        <v>79.6029</v>
      </c>
      <c r="N60" s="6">
        <f t="shared" si="37"/>
        <v>89.40018</v>
      </c>
      <c r="O60" s="6">
        <f t="shared" si="37"/>
        <v>114.873108</v>
      </c>
      <c r="P60" s="6">
        <f t="shared" si="37"/>
        <v>79.11303600000001</v>
      </c>
      <c r="Q60" s="47"/>
      <c r="R60" s="47">
        <f t="shared" si="32"/>
        <v>1095.335904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42.1368</v>
      </c>
      <c r="F61" s="6">
        <f aca="true" t="shared" si="38" ref="F61:P61">$D61*F$7</f>
        <v>56.3376</v>
      </c>
      <c r="G61" s="6">
        <f t="shared" si="38"/>
        <v>45.2796</v>
      </c>
      <c r="H61" s="6">
        <f t="shared" si="38"/>
        <v>45.2796</v>
      </c>
      <c r="I61" s="6">
        <f t="shared" si="38"/>
        <v>44.6976</v>
      </c>
      <c r="J61" s="6">
        <f t="shared" si="38"/>
        <v>41.205600000000004</v>
      </c>
      <c r="K61" s="6">
        <f t="shared" si="38"/>
        <v>37.4808</v>
      </c>
      <c r="L61" s="6">
        <f t="shared" si="38"/>
        <v>35.6184</v>
      </c>
      <c r="M61" s="6">
        <f t="shared" si="38"/>
        <v>37.830000000000005</v>
      </c>
      <c r="N61" s="6">
        <f t="shared" si="38"/>
        <v>42.486000000000004</v>
      </c>
      <c r="O61" s="6">
        <f t="shared" si="38"/>
        <v>54.5916</v>
      </c>
      <c r="P61" s="6">
        <f t="shared" si="38"/>
        <v>37.5972</v>
      </c>
      <c r="Q61" s="47"/>
      <c r="R61" s="47">
        <f t="shared" si="32"/>
        <v>520.5408000000001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411.362764408</v>
      </c>
      <c r="F62" s="6">
        <f aca="true" t="shared" si="39" ref="F62:P62">(SUM(F55:F61)-($D60+$C60)*F$7)*$D62</f>
        <v>566.2685342560001</v>
      </c>
      <c r="G62" s="6">
        <f t="shared" si="39"/>
        <v>467.2873590759999</v>
      </c>
      <c r="H62" s="6">
        <f t="shared" si="39"/>
        <v>467.2873590759999</v>
      </c>
      <c r="I62" s="6">
        <f t="shared" si="39"/>
        <v>440.1418514560001</v>
      </c>
      <c r="J62" s="6">
        <f t="shared" si="39"/>
        <v>411.183769336</v>
      </c>
      <c r="K62" s="6">
        <f t="shared" si="39"/>
        <v>380.3906314480001</v>
      </c>
      <c r="L62" s="6">
        <f t="shared" si="39"/>
        <v>368.57467650399997</v>
      </c>
      <c r="M62" s="6">
        <f t="shared" si="39"/>
        <v>381.71096950000003</v>
      </c>
      <c r="N62" s="6">
        <f t="shared" si="39"/>
        <v>427.7216812599999</v>
      </c>
      <c r="O62" s="6">
        <f t="shared" si="39"/>
        <v>550.357247596</v>
      </c>
      <c r="P62" s="6">
        <f t="shared" si="39"/>
        <v>408.5208257320001</v>
      </c>
      <c r="Q62" s="47"/>
      <c r="R62" s="47">
        <f t="shared" si="32"/>
        <v>5280.807669647999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40" ref="F63:P63">$D$63</f>
        <v>0</v>
      </c>
      <c r="G63" s="6">
        <f t="shared" si="40"/>
        <v>0</v>
      </c>
      <c r="H63" s="6">
        <f t="shared" si="40"/>
        <v>0</v>
      </c>
      <c r="I63" s="6">
        <f t="shared" si="40"/>
        <v>0</v>
      </c>
      <c r="J63" s="6">
        <f t="shared" si="40"/>
        <v>0</v>
      </c>
      <c r="K63" s="6">
        <f t="shared" si="40"/>
        <v>0</v>
      </c>
      <c r="L63" s="6">
        <f t="shared" si="40"/>
        <v>0</v>
      </c>
      <c r="M63" s="6">
        <f t="shared" si="40"/>
        <v>0</v>
      </c>
      <c r="N63" s="6">
        <f t="shared" si="40"/>
        <v>0</v>
      </c>
      <c r="O63" s="6">
        <f t="shared" si="40"/>
        <v>0</v>
      </c>
      <c r="P63" s="6">
        <f t="shared" si="40"/>
        <v>0</v>
      </c>
      <c r="Q63" s="47"/>
      <c r="R63" s="47">
        <f t="shared" si="32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1" ref="E64:P64">$D$64*E$7</f>
        <v>0</v>
      </c>
      <c r="F64" s="6">
        <f t="shared" si="41"/>
        <v>0</v>
      </c>
      <c r="G64" s="6">
        <f t="shared" si="41"/>
        <v>0</v>
      </c>
      <c r="H64" s="6">
        <f t="shared" si="41"/>
        <v>0</v>
      </c>
      <c r="I64" s="6">
        <f t="shared" si="41"/>
        <v>0</v>
      </c>
      <c r="J64" s="6">
        <f t="shared" si="41"/>
        <v>0</v>
      </c>
      <c r="K64" s="6">
        <f t="shared" si="41"/>
        <v>0</v>
      </c>
      <c r="L64" s="6">
        <f t="shared" si="41"/>
        <v>0</v>
      </c>
      <c r="M64" s="6">
        <f t="shared" si="41"/>
        <v>0</v>
      </c>
      <c r="N64" s="6">
        <f t="shared" si="41"/>
        <v>0</v>
      </c>
      <c r="O64" s="6">
        <f t="shared" si="41"/>
        <v>0</v>
      </c>
      <c r="P64" s="6">
        <f t="shared" si="41"/>
        <v>0</v>
      </c>
      <c r="Q64" s="47"/>
      <c r="R64" s="47">
        <f t="shared" si="32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2" ref="E65:P65">$D$65*(SUM(E55:E57)+E62+E63+E64-$C$60*E$7)</f>
        <v>0</v>
      </c>
      <c r="F65" s="6">
        <f t="shared" si="42"/>
        <v>0</v>
      </c>
      <c r="G65" s="6">
        <f t="shared" si="42"/>
        <v>0</v>
      </c>
      <c r="H65" s="6">
        <f t="shared" si="42"/>
        <v>0</v>
      </c>
      <c r="I65" s="6">
        <f t="shared" si="42"/>
        <v>0</v>
      </c>
      <c r="J65" s="6">
        <f t="shared" si="42"/>
        <v>0</v>
      </c>
      <c r="K65" s="6">
        <f t="shared" si="42"/>
        <v>0</v>
      </c>
      <c r="L65" s="6">
        <f t="shared" si="42"/>
        <v>0</v>
      </c>
      <c r="M65" s="6">
        <f t="shared" si="42"/>
        <v>0</v>
      </c>
      <c r="N65" s="6">
        <f t="shared" si="42"/>
        <v>0</v>
      </c>
      <c r="O65" s="6">
        <f t="shared" si="42"/>
        <v>0</v>
      </c>
      <c r="P65" s="6">
        <f t="shared" si="42"/>
        <v>0</v>
      </c>
      <c r="Q65" s="47"/>
      <c r="R65" s="47">
        <f t="shared" si="32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3" ref="E66:P66">$D$66*(SUM(E55:E57)+E62+E63+E64-$C$66*E$7)</f>
        <v>0</v>
      </c>
      <c r="F66" s="6">
        <f t="shared" si="43"/>
        <v>0</v>
      </c>
      <c r="G66" s="6">
        <f t="shared" si="43"/>
        <v>0</v>
      </c>
      <c r="H66" s="6">
        <f t="shared" si="43"/>
        <v>0</v>
      </c>
      <c r="I66" s="6">
        <f t="shared" si="43"/>
        <v>0</v>
      </c>
      <c r="J66" s="6">
        <f t="shared" si="43"/>
        <v>0</v>
      </c>
      <c r="K66" s="6">
        <f t="shared" si="43"/>
        <v>0</v>
      </c>
      <c r="L66" s="6">
        <f t="shared" si="43"/>
        <v>0</v>
      </c>
      <c r="M66" s="6">
        <f t="shared" si="43"/>
        <v>0</v>
      </c>
      <c r="N66" s="6">
        <f t="shared" si="43"/>
        <v>0</v>
      </c>
      <c r="O66" s="6">
        <f t="shared" si="43"/>
        <v>0</v>
      </c>
      <c r="P66" s="6">
        <f t="shared" si="43"/>
        <v>0</v>
      </c>
      <c r="R66" s="47">
        <f t="shared" si="32"/>
        <v>0</v>
      </c>
    </row>
    <row r="67" spans="4:18" ht="15.75" thickBot="1">
      <c r="D67" s="9" t="s">
        <v>24</v>
      </c>
      <c r="E67" s="52">
        <f>SUM(E55:E66)</f>
        <v>4504.776788408</v>
      </c>
      <c r="F67" s="52">
        <f aca="true" t="shared" si="44" ref="F67:P67">SUM(F55:F66)</f>
        <v>6148.828102256</v>
      </c>
      <c r="G67" s="52">
        <f t="shared" si="44"/>
        <v>5036.053987075999</v>
      </c>
      <c r="H67" s="52">
        <f t="shared" si="44"/>
        <v>5036.053987075999</v>
      </c>
      <c r="I67" s="52">
        <f t="shared" si="44"/>
        <v>4807.784219456001</v>
      </c>
      <c r="J67" s="52">
        <f t="shared" si="44"/>
        <v>4474.168577336</v>
      </c>
      <c r="K67" s="52">
        <f t="shared" si="44"/>
        <v>4119.050575448001</v>
      </c>
      <c r="L67" s="52">
        <f t="shared" si="44"/>
        <v>3969.1921885039997</v>
      </c>
      <c r="M67" s="52">
        <f t="shared" si="44"/>
        <v>4140.223869500001</v>
      </c>
      <c r="N67" s="52">
        <f t="shared" si="44"/>
        <v>4642.2926612599995</v>
      </c>
      <c r="O67" s="52">
        <f t="shared" si="44"/>
        <v>5970.940035596</v>
      </c>
      <c r="P67" s="52">
        <f t="shared" si="44"/>
        <v>4340.326421732001</v>
      </c>
      <c r="Q67" s="53"/>
      <c r="R67" s="54">
        <f>SUM(E67:P67)</f>
        <v>57189.691413648005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5" ref="E71:P71">IF(E$7&gt;0,$D$71,0)</f>
        <v>85</v>
      </c>
      <c r="F71" s="6">
        <f t="shared" si="45"/>
        <v>85</v>
      </c>
      <c r="G71" s="6">
        <f t="shared" si="45"/>
        <v>85</v>
      </c>
      <c r="H71" s="6">
        <f t="shared" si="45"/>
        <v>85</v>
      </c>
      <c r="I71" s="6">
        <f t="shared" si="45"/>
        <v>85</v>
      </c>
      <c r="J71" s="6">
        <f t="shared" si="45"/>
        <v>85</v>
      </c>
      <c r="K71" s="6">
        <f t="shared" si="45"/>
        <v>85</v>
      </c>
      <c r="L71" s="6">
        <f t="shared" si="45"/>
        <v>85</v>
      </c>
      <c r="M71" s="6">
        <f t="shared" si="45"/>
        <v>85</v>
      </c>
      <c r="N71" s="6">
        <f t="shared" si="45"/>
        <v>85</v>
      </c>
      <c r="O71" s="6">
        <f t="shared" si="45"/>
        <v>85</v>
      </c>
      <c r="P71" s="6">
        <f t="shared" si="45"/>
        <v>85</v>
      </c>
      <c r="Q71" s="47"/>
      <c r="R71" s="47">
        <f aca="true" t="shared" si="46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7" ref="E72:P72">E$7*$D$72</f>
        <v>3047.5332000000003</v>
      </c>
      <c r="F72" s="6">
        <f t="shared" si="47"/>
        <v>4074.6024000000007</v>
      </c>
      <c r="G72" s="6">
        <f t="shared" si="47"/>
        <v>3274.8354000000004</v>
      </c>
      <c r="H72" s="6">
        <f t="shared" si="47"/>
        <v>3274.8354000000004</v>
      </c>
      <c r="I72" s="6">
        <f t="shared" si="47"/>
        <v>3232.7424000000005</v>
      </c>
      <c r="J72" s="6">
        <f t="shared" si="47"/>
        <v>2980.1844000000006</v>
      </c>
      <c r="K72" s="6">
        <f t="shared" si="47"/>
        <v>2710.7892</v>
      </c>
      <c r="L72" s="6">
        <f t="shared" si="47"/>
        <v>2576.0916</v>
      </c>
      <c r="M72" s="6">
        <f t="shared" si="47"/>
        <v>2736.0450000000005</v>
      </c>
      <c r="N72" s="6">
        <f t="shared" si="47"/>
        <v>3072.789</v>
      </c>
      <c r="O72" s="6">
        <f t="shared" si="47"/>
        <v>3948.3234000000007</v>
      </c>
      <c r="P72" s="6">
        <f t="shared" si="47"/>
        <v>2719.2078</v>
      </c>
      <c r="Q72" s="47"/>
      <c r="R72" s="47">
        <f t="shared" si="46"/>
        <v>37647.9792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8" ref="E73:P73">$D$73*E$10</f>
        <v>403.76879999999994</v>
      </c>
      <c r="F73" s="6">
        <f t="shared" si="48"/>
        <v>664.2647999999999</v>
      </c>
      <c r="G73" s="6">
        <f t="shared" si="48"/>
        <v>592.6284</v>
      </c>
      <c r="H73" s="6">
        <f t="shared" si="48"/>
        <v>592.6284</v>
      </c>
      <c r="I73" s="6">
        <f t="shared" si="48"/>
        <v>455.868</v>
      </c>
      <c r="J73" s="6">
        <f t="shared" si="48"/>
        <v>447.18479999999994</v>
      </c>
      <c r="K73" s="6">
        <f t="shared" si="48"/>
        <v>438.5016</v>
      </c>
      <c r="L73" s="6">
        <f t="shared" si="48"/>
        <v>455.868</v>
      </c>
      <c r="M73" s="6">
        <f t="shared" si="48"/>
        <v>429.8184</v>
      </c>
      <c r="N73" s="6">
        <f t="shared" si="48"/>
        <v>486.2592</v>
      </c>
      <c r="O73" s="6">
        <f t="shared" si="48"/>
        <v>651.24</v>
      </c>
      <c r="P73" s="6">
        <f t="shared" si="48"/>
        <v>603.4824</v>
      </c>
      <c r="Q73" s="47"/>
      <c r="R73" s="47">
        <f t="shared" si="46"/>
        <v>6221.5127999999995</v>
      </c>
    </row>
    <row r="74" spans="2:18" ht="15">
      <c r="B74" s="40" t="s">
        <v>67</v>
      </c>
      <c r="D74" s="7">
        <f>'Rate Comparison'!D74</f>
        <v>3.46</v>
      </c>
      <c r="E74" s="6">
        <f aca="true" t="shared" si="49" ref="E74:P74">IF((1/E$13)*100&gt;1.15,($D$74*(E$10/E$13*100-1.15*E$10)),0)</f>
        <v>0</v>
      </c>
      <c r="F74" s="6">
        <f t="shared" si="49"/>
        <v>0</v>
      </c>
      <c r="G74" s="6">
        <f t="shared" si="49"/>
        <v>0</v>
      </c>
      <c r="H74" s="6">
        <f t="shared" si="49"/>
        <v>0</v>
      </c>
      <c r="I74" s="6">
        <f t="shared" si="49"/>
        <v>0</v>
      </c>
      <c r="J74" s="6">
        <f t="shared" si="49"/>
        <v>0</v>
      </c>
      <c r="K74" s="6">
        <f t="shared" si="49"/>
        <v>0</v>
      </c>
      <c r="L74" s="6">
        <f t="shared" si="49"/>
        <v>0</v>
      </c>
      <c r="M74" s="6">
        <f t="shared" si="49"/>
        <v>0</v>
      </c>
      <c r="N74" s="6">
        <f t="shared" si="49"/>
        <v>0</v>
      </c>
      <c r="O74" s="6">
        <f t="shared" si="49"/>
        <v>0</v>
      </c>
      <c r="P74" s="6">
        <f t="shared" si="49"/>
        <v>0</v>
      </c>
      <c r="Q74" s="47"/>
      <c r="R74" s="47">
        <f t="shared" si="46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50" ref="E75:P75">E$7*$D$75</f>
        <v>88.665384</v>
      </c>
      <c r="F75" s="6">
        <f t="shared" si="50"/>
        <v>118.547088</v>
      </c>
      <c r="G75" s="6">
        <f t="shared" si="50"/>
        <v>95.278548</v>
      </c>
      <c r="H75" s="6">
        <f t="shared" si="50"/>
        <v>95.278548</v>
      </c>
      <c r="I75" s="6">
        <f t="shared" si="50"/>
        <v>94.053888</v>
      </c>
      <c r="J75" s="6">
        <f t="shared" si="50"/>
        <v>86.705928</v>
      </c>
      <c r="K75" s="6">
        <f t="shared" si="50"/>
        <v>78.868104</v>
      </c>
      <c r="L75" s="6">
        <f t="shared" si="50"/>
        <v>74.94919200000001</v>
      </c>
      <c r="M75" s="6">
        <f t="shared" si="50"/>
        <v>79.6029</v>
      </c>
      <c r="N75" s="6">
        <f t="shared" si="50"/>
        <v>89.40018</v>
      </c>
      <c r="O75" s="6">
        <f t="shared" si="50"/>
        <v>114.873108</v>
      </c>
      <c r="P75" s="6">
        <f t="shared" si="50"/>
        <v>79.11303600000001</v>
      </c>
      <c r="Q75" s="47"/>
      <c r="R75" s="47">
        <f t="shared" si="46"/>
        <v>1095.335904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1" ref="E76:P76">$D$76*E$7</f>
        <v>42.83183999999999</v>
      </c>
      <c r="F76" s="6">
        <f t="shared" si="51"/>
        <v>57.26687999999999</v>
      </c>
      <c r="G76" s="6">
        <f t="shared" si="51"/>
        <v>46.02647999999999</v>
      </c>
      <c r="H76" s="6">
        <f t="shared" si="51"/>
        <v>46.02647999999999</v>
      </c>
      <c r="I76" s="6">
        <f t="shared" si="51"/>
        <v>45.43487999999999</v>
      </c>
      <c r="J76" s="6">
        <f t="shared" si="51"/>
        <v>41.885279999999995</v>
      </c>
      <c r="K76" s="6">
        <f t="shared" si="51"/>
        <v>38.099039999999995</v>
      </c>
      <c r="L76" s="6">
        <f t="shared" si="51"/>
        <v>36.20592</v>
      </c>
      <c r="M76" s="6">
        <f t="shared" si="51"/>
        <v>38.45399999999999</v>
      </c>
      <c r="N76" s="6">
        <f t="shared" si="51"/>
        <v>43.1868</v>
      </c>
      <c r="O76" s="6">
        <f t="shared" si="51"/>
        <v>55.492079999999994</v>
      </c>
      <c r="P76" s="6">
        <f t="shared" si="51"/>
        <v>38.21736</v>
      </c>
      <c r="Q76" s="47"/>
      <c r="R76" s="47">
        <f t="shared" si="46"/>
        <v>529.12704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51.34608000000001</v>
      </c>
      <c r="F77" s="6">
        <f aca="true" t="shared" si="52" ref="F77:P77">$D77*F$7</f>
        <v>68.65056000000001</v>
      </c>
      <c r="G77" s="6">
        <f t="shared" si="52"/>
        <v>55.175760000000004</v>
      </c>
      <c r="H77" s="6">
        <f t="shared" si="52"/>
        <v>55.175760000000004</v>
      </c>
      <c r="I77" s="6">
        <f t="shared" si="52"/>
        <v>54.46656000000001</v>
      </c>
      <c r="J77" s="6">
        <f t="shared" si="52"/>
        <v>50.211360000000006</v>
      </c>
      <c r="K77" s="6">
        <f t="shared" si="52"/>
        <v>45.67248000000001</v>
      </c>
      <c r="L77" s="6">
        <f t="shared" si="52"/>
        <v>43.403040000000004</v>
      </c>
      <c r="M77" s="6">
        <f t="shared" si="52"/>
        <v>46.098000000000006</v>
      </c>
      <c r="N77" s="6">
        <f t="shared" si="52"/>
        <v>51.77160000000001</v>
      </c>
      <c r="O77" s="6">
        <f t="shared" si="52"/>
        <v>66.52296000000001</v>
      </c>
      <c r="P77" s="6">
        <f t="shared" si="52"/>
        <v>45.81432</v>
      </c>
      <c r="Q77" s="47"/>
      <c r="R77" s="47">
        <f t="shared" si="46"/>
        <v>634.30848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3" ref="E78:P78">E$7*$D$78</f>
        <v>0</v>
      </c>
      <c r="F78" s="6">
        <f t="shared" si="53"/>
        <v>0</v>
      </c>
      <c r="G78" s="6">
        <f t="shared" si="53"/>
        <v>0</v>
      </c>
      <c r="H78" s="6">
        <f t="shared" si="53"/>
        <v>0</v>
      </c>
      <c r="I78" s="6">
        <f t="shared" si="53"/>
        <v>0</v>
      </c>
      <c r="J78" s="6">
        <f t="shared" si="53"/>
        <v>0</v>
      </c>
      <c r="K78" s="6">
        <f t="shared" si="53"/>
        <v>0</v>
      </c>
      <c r="L78" s="6">
        <f t="shared" si="53"/>
        <v>0</v>
      </c>
      <c r="M78" s="6">
        <f t="shared" si="53"/>
        <v>0</v>
      </c>
      <c r="N78" s="6">
        <f t="shared" si="53"/>
        <v>0</v>
      </c>
      <c r="O78" s="6">
        <f t="shared" si="53"/>
        <v>0</v>
      </c>
      <c r="P78" s="6">
        <f t="shared" si="53"/>
        <v>0</v>
      </c>
      <c r="Q78" s="47"/>
      <c r="R78" s="47">
        <f t="shared" si="46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4" ref="E79:P79">IF(E$7&gt;0,$D$79,0)</f>
        <v>0.15</v>
      </c>
      <c r="F79" s="6">
        <f t="shared" si="54"/>
        <v>0.15</v>
      </c>
      <c r="G79" s="6">
        <f t="shared" si="54"/>
        <v>0.15</v>
      </c>
      <c r="H79" s="6">
        <f t="shared" si="54"/>
        <v>0.15</v>
      </c>
      <c r="I79" s="6">
        <f t="shared" si="54"/>
        <v>0.15</v>
      </c>
      <c r="J79" s="6">
        <f t="shared" si="54"/>
        <v>0.15</v>
      </c>
      <c r="K79" s="6">
        <f t="shared" si="54"/>
        <v>0.15</v>
      </c>
      <c r="L79" s="6">
        <f t="shared" si="54"/>
        <v>0.15</v>
      </c>
      <c r="M79" s="6">
        <f t="shared" si="54"/>
        <v>0.15</v>
      </c>
      <c r="N79" s="6">
        <f t="shared" si="54"/>
        <v>0.15</v>
      </c>
      <c r="O79" s="6">
        <f t="shared" si="54"/>
        <v>0.15</v>
      </c>
      <c r="P79" s="6">
        <f t="shared" si="54"/>
        <v>0.15</v>
      </c>
      <c r="Q79" s="47"/>
      <c r="R79" s="47">
        <f t="shared" si="46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5" ref="E80:P80">$D$80*E$7</f>
        <v>60.3816</v>
      </c>
      <c r="F80" s="6">
        <f t="shared" si="55"/>
        <v>80.7312</v>
      </c>
      <c r="G80" s="6">
        <f t="shared" si="55"/>
        <v>64.8852</v>
      </c>
      <c r="H80" s="6">
        <f t="shared" si="55"/>
        <v>64.8852</v>
      </c>
      <c r="I80" s="6">
        <f t="shared" si="55"/>
        <v>64.0512</v>
      </c>
      <c r="J80" s="6">
        <f t="shared" si="55"/>
        <v>59.0472</v>
      </c>
      <c r="K80" s="6">
        <f t="shared" si="55"/>
        <v>53.7096</v>
      </c>
      <c r="L80" s="6">
        <f t="shared" si="55"/>
        <v>51.0408</v>
      </c>
      <c r="M80" s="6">
        <f t="shared" si="55"/>
        <v>54.21</v>
      </c>
      <c r="N80" s="6">
        <f t="shared" si="55"/>
        <v>60.882</v>
      </c>
      <c r="O80" s="6">
        <f t="shared" si="55"/>
        <v>78.22919999999999</v>
      </c>
      <c r="P80" s="6">
        <f t="shared" si="55"/>
        <v>53.8764</v>
      </c>
      <c r="Q80" s="47"/>
      <c r="R80" s="47">
        <f t="shared" si="46"/>
        <v>745.9295999999999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6" ref="E81:P81">$D$81*E$10</f>
        <v>50.22</v>
      </c>
      <c r="F81" s="6">
        <f t="shared" si="56"/>
        <v>82.62</v>
      </c>
      <c r="G81" s="6">
        <f t="shared" si="56"/>
        <v>73.71000000000001</v>
      </c>
      <c r="H81" s="6">
        <f t="shared" si="56"/>
        <v>73.71000000000001</v>
      </c>
      <c r="I81" s="6">
        <f t="shared" si="56"/>
        <v>56.7</v>
      </c>
      <c r="J81" s="6">
        <f t="shared" si="56"/>
        <v>55.62</v>
      </c>
      <c r="K81" s="6">
        <f t="shared" si="56"/>
        <v>54.54</v>
      </c>
      <c r="L81" s="6">
        <f t="shared" si="56"/>
        <v>56.7</v>
      </c>
      <c r="M81" s="6">
        <f t="shared" si="56"/>
        <v>53.46</v>
      </c>
      <c r="N81" s="6">
        <f t="shared" si="56"/>
        <v>60.480000000000004</v>
      </c>
      <c r="O81" s="6">
        <f t="shared" si="56"/>
        <v>81</v>
      </c>
      <c r="P81" s="6">
        <f t="shared" si="56"/>
        <v>75.06</v>
      </c>
      <c r="Q81" s="47"/>
      <c r="R81" s="47">
        <f t="shared" si="46"/>
        <v>773.8199999999999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7" ref="E82:P82">$D82*(SUM(E71:E81)-($C$75+$D$75)*E$7)</f>
        <v>156.21194028943995</v>
      </c>
      <c r="F82" s="6">
        <f t="shared" si="57"/>
        <v>215.78521079048005</v>
      </c>
      <c r="G82" s="6">
        <f t="shared" si="57"/>
        <v>178.58676255428</v>
      </c>
      <c r="H82" s="6">
        <f t="shared" si="57"/>
        <v>178.58676255428</v>
      </c>
      <c r="I82" s="6">
        <f t="shared" si="57"/>
        <v>167.31360956888</v>
      </c>
      <c r="J82" s="6">
        <f t="shared" si="57"/>
        <v>156.54308123888</v>
      </c>
      <c r="K82" s="6">
        <f t="shared" si="57"/>
        <v>145.09506555824004</v>
      </c>
      <c r="L82" s="6">
        <f t="shared" si="57"/>
        <v>140.89160289392</v>
      </c>
      <c r="M82" s="6">
        <f t="shared" si="57"/>
        <v>145.50307851380006</v>
      </c>
      <c r="N82" s="6">
        <f t="shared" si="57"/>
        <v>163.00624298420001</v>
      </c>
      <c r="O82" s="6">
        <f t="shared" si="57"/>
        <v>209.79172855508</v>
      </c>
      <c r="P82" s="6">
        <f t="shared" si="57"/>
        <v>156.98995257116002</v>
      </c>
      <c r="Q82" s="47"/>
      <c r="R82" s="47">
        <f t="shared" si="46"/>
        <v>2014.3050380726404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8" ref="E83:P83">$D83*(SUM(E71:E81)-($C$75+$D$75)*E$7)</f>
        <v>245.80618441903997</v>
      </c>
      <c r="F83" s="6">
        <f t="shared" si="58"/>
        <v>339.5472792936801</v>
      </c>
      <c r="G83" s="6">
        <f t="shared" si="58"/>
        <v>281.01392639948</v>
      </c>
      <c r="H83" s="6">
        <f t="shared" si="58"/>
        <v>281.01392639948</v>
      </c>
      <c r="I83" s="6">
        <f t="shared" si="58"/>
        <v>263.27513692808</v>
      </c>
      <c r="J83" s="6">
        <f t="shared" si="58"/>
        <v>246.32724889808</v>
      </c>
      <c r="K83" s="6">
        <f t="shared" si="58"/>
        <v>228.31330547984004</v>
      </c>
      <c r="L83" s="6">
        <f t="shared" si="58"/>
        <v>221.69897678672004</v>
      </c>
      <c r="M83" s="6">
        <f t="shared" si="58"/>
        <v>228.9553313558001</v>
      </c>
      <c r="N83" s="6">
        <f t="shared" si="58"/>
        <v>256.49731096220006</v>
      </c>
      <c r="O83" s="6">
        <f t="shared" si="58"/>
        <v>330.11627807228</v>
      </c>
      <c r="P83" s="6">
        <f t="shared" si="58"/>
        <v>247.03042009556006</v>
      </c>
      <c r="R83" s="47">
        <f t="shared" si="46"/>
        <v>3169.59532509024</v>
      </c>
      <c r="S83" s="20"/>
    </row>
    <row r="84" spans="1:18" ht="15.75" thickBot="1">
      <c r="A84" s="40"/>
      <c r="D84" s="9" t="s">
        <v>24</v>
      </c>
      <c r="E84" s="52">
        <f>SUM(E71:E83)</f>
        <v>4231.915028708479</v>
      </c>
      <c r="F84" s="52">
        <f aca="true" t="shared" si="59" ref="F84:P84">SUM(F71:F83)</f>
        <v>5787.165418084161</v>
      </c>
      <c r="G84" s="52">
        <f t="shared" si="59"/>
        <v>4747.290476953759</v>
      </c>
      <c r="H84" s="52">
        <f t="shared" si="59"/>
        <v>4747.290476953759</v>
      </c>
      <c r="I84" s="52">
        <f t="shared" si="59"/>
        <v>4519.05567449696</v>
      </c>
      <c r="J84" s="52">
        <f t="shared" si="59"/>
        <v>4208.85929813696</v>
      </c>
      <c r="K84" s="52">
        <f t="shared" si="59"/>
        <v>3878.738395038081</v>
      </c>
      <c r="L84" s="52">
        <f t="shared" si="59"/>
        <v>3741.9991316806404</v>
      </c>
      <c r="M84" s="52">
        <f t="shared" si="59"/>
        <v>3897.296709869601</v>
      </c>
      <c r="N84" s="52">
        <f t="shared" si="59"/>
        <v>4369.4223339464</v>
      </c>
      <c r="O84" s="52">
        <f t="shared" si="59"/>
        <v>5620.73875462736</v>
      </c>
      <c r="P84" s="52">
        <f t="shared" si="59"/>
        <v>4103.94168866672</v>
      </c>
      <c r="Q84" s="53"/>
      <c r="R84" s="54">
        <f>SUM(E84:P84)</f>
        <v>53853.71338716289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34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96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63284</v>
      </c>
      <c r="F7" s="75">
        <v>64282</v>
      </c>
      <c r="G7" s="75">
        <v>64980</v>
      </c>
      <c r="H7" s="75">
        <v>44897</v>
      </c>
      <c r="I7" s="75">
        <v>56368</v>
      </c>
      <c r="J7" s="75">
        <v>57116</v>
      </c>
      <c r="K7" s="75">
        <v>55790</v>
      </c>
      <c r="L7" s="75">
        <v>51528</v>
      </c>
      <c r="M7" s="75">
        <v>46786</v>
      </c>
      <c r="N7" s="75">
        <v>47697</v>
      </c>
      <c r="O7" s="75">
        <v>60234</v>
      </c>
      <c r="P7" s="75">
        <v>62154</v>
      </c>
      <c r="R7" s="4">
        <f>SUM(E7:P7)</f>
        <v>675116</v>
      </c>
      <c r="S7" s="15">
        <f>R7/(8760*MAX(E10:P10))</f>
        <v>0.3429819160199393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224.7</v>
      </c>
      <c r="C10" s="34"/>
      <c r="D10" s="10" t="s">
        <v>5</v>
      </c>
      <c r="E10" s="75">
        <v>160.9</v>
      </c>
      <c r="F10" s="75">
        <v>220</v>
      </c>
      <c r="G10" s="75">
        <v>224.7</v>
      </c>
      <c r="H10" s="75">
        <v>171.9</v>
      </c>
      <c r="I10" s="75">
        <v>183.4</v>
      </c>
      <c r="J10" s="75">
        <v>162.7</v>
      </c>
      <c r="K10" s="75">
        <v>152.7</v>
      </c>
      <c r="L10" s="75">
        <v>164.3</v>
      </c>
      <c r="M10" s="75">
        <v>176.4</v>
      </c>
      <c r="N10" s="75">
        <v>146.7</v>
      </c>
      <c r="O10" s="75">
        <v>198.5</v>
      </c>
      <c r="P10" s="75">
        <v>183.29999999999998</v>
      </c>
      <c r="R10" s="4">
        <f>SUM(E10:P10)</f>
        <v>2145.5</v>
      </c>
      <c r="W10" s="15" t="s">
        <v>46</v>
      </c>
      <c r="X10" s="20"/>
    </row>
    <row r="11" spans="2:24" ht="15">
      <c r="B11" s="34">
        <f>MAX(E11:P11)</f>
        <v>224.7</v>
      </c>
      <c r="C11" s="34"/>
      <c r="D11" s="10" t="s">
        <v>6</v>
      </c>
      <c r="E11" s="75">
        <v>160.9</v>
      </c>
      <c r="F11" s="75">
        <v>220</v>
      </c>
      <c r="G11" s="75">
        <v>224.7</v>
      </c>
      <c r="H11" s="75">
        <v>171.9</v>
      </c>
      <c r="I11" s="75">
        <v>183.4</v>
      </c>
      <c r="J11" s="75">
        <v>162.7</v>
      </c>
      <c r="K11" s="75">
        <v>152.7</v>
      </c>
      <c r="L11" s="75">
        <v>164.3</v>
      </c>
      <c r="M11" s="75">
        <v>176.4</v>
      </c>
      <c r="N11" s="75">
        <v>146.7</v>
      </c>
      <c r="O11" s="75">
        <v>198.5</v>
      </c>
      <c r="P11" s="75">
        <v>183.29999999999998</v>
      </c>
      <c r="R11" s="4">
        <f>SUM(E11:P11)</f>
        <v>2145.5</v>
      </c>
      <c r="W11" s="15" t="s">
        <v>47</v>
      </c>
      <c r="X11" s="20"/>
    </row>
    <row r="12" spans="2:24" ht="15">
      <c r="B12" s="34">
        <f>MAX(E12:P12)</f>
        <v>224.7</v>
      </c>
      <c r="C12" s="34"/>
      <c r="D12" s="10" t="s">
        <v>7</v>
      </c>
      <c r="E12" s="75">
        <v>160.9</v>
      </c>
      <c r="F12" s="75">
        <v>220</v>
      </c>
      <c r="G12" s="75">
        <v>224.7</v>
      </c>
      <c r="H12" s="75">
        <v>171.9</v>
      </c>
      <c r="I12" s="75">
        <v>183.4</v>
      </c>
      <c r="J12" s="75">
        <v>162.7</v>
      </c>
      <c r="K12" s="75">
        <v>152.7</v>
      </c>
      <c r="L12" s="75">
        <v>164.3</v>
      </c>
      <c r="M12" s="75">
        <v>176.4</v>
      </c>
      <c r="N12" s="75">
        <v>146.7</v>
      </c>
      <c r="O12" s="75">
        <v>198.5</v>
      </c>
      <c r="P12" s="75">
        <v>183.29999999999998</v>
      </c>
      <c r="R12" s="4">
        <f>SUM(E12:P12)</f>
        <v>2145.5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4932.987800000001</v>
      </c>
      <c r="F56" s="6">
        <f t="shared" si="32"/>
        <v>5010.7819</v>
      </c>
      <c r="G56" s="6">
        <f t="shared" si="32"/>
        <v>5065.191000000001</v>
      </c>
      <c r="H56" s="6">
        <f t="shared" si="32"/>
        <v>3499.7211500000003</v>
      </c>
      <c r="I56" s="6">
        <f t="shared" si="32"/>
        <v>4393.8856000000005</v>
      </c>
      <c r="J56" s="6">
        <f t="shared" si="32"/>
        <v>4452.1922</v>
      </c>
      <c r="K56" s="6">
        <f t="shared" si="32"/>
        <v>4348.8305</v>
      </c>
      <c r="L56" s="6">
        <f t="shared" si="32"/>
        <v>4016.6076000000003</v>
      </c>
      <c r="M56" s="6">
        <f t="shared" si="32"/>
        <v>3646.9687000000004</v>
      </c>
      <c r="N56" s="6">
        <f t="shared" si="32"/>
        <v>3717.98115</v>
      </c>
      <c r="O56" s="6">
        <f t="shared" si="32"/>
        <v>4695.2403</v>
      </c>
      <c r="P56" s="6">
        <f t="shared" si="32"/>
        <v>4844.9043</v>
      </c>
      <c r="Q56" s="47"/>
      <c r="R56" s="47">
        <f t="shared" si="31"/>
        <v>52625.2922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646.818</v>
      </c>
      <c r="F57" s="6">
        <f t="shared" si="33"/>
        <v>884.3999999999999</v>
      </c>
      <c r="G57" s="6">
        <f t="shared" si="33"/>
        <v>903.2939999999999</v>
      </c>
      <c r="H57" s="6">
        <f t="shared" si="33"/>
        <v>691.0379999999999</v>
      </c>
      <c r="I57" s="6">
        <f t="shared" si="33"/>
        <v>737.2679999999999</v>
      </c>
      <c r="J57" s="6">
        <f t="shared" si="33"/>
        <v>654.0539999999999</v>
      </c>
      <c r="K57" s="6">
        <f t="shared" si="33"/>
        <v>613.8539999999999</v>
      </c>
      <c r="L57" s="6">
        <f t="shared" si="33"/>
        <v>660.486</v>
      </c>
      <c r="M57" s="6">
        <f t="shared" si="33"/>
        <v>709.1279999999999</v>
      </c>
      <c r="N57" s="6">
        <f t="shared" si="33"/>
        <v>589.7339999999999</v>
      </c>
      <c r="O57" s="6">
        <f t="shared" si="33"/>
        <v>797.9699999999999</v>
      </c>
      <c r="P57" s="6">
        <f t="shared" si="33"/>
        <v>736.8659999999999</v>
      </c>
      <c r="Q57" s="47"/>
      <c r="R57" s="47">
        <f t="shared" si="31"/>
        <v>8624.909999999998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62.39802399999999</v>
      </c>
      <c r="F59" s="6">
        <f t="shared" si="35"/>
        <v>63.382051999999995</v>
      </c>
      <c r="G59" s="6">
        <f t="shared" si="35"/>
        <v>64.07028</v>
      </c>
      <c r="H59" s="6">
        <f t="shared" si="35"/>
        <v>44.26844199999999</v>
      </c>
      <c r="I59" s="6">
        <f t="shared" si="35"/>
        <v>55.578847999999994</v>
      </c>
      <c r="J59" s="6">
        <f t="shared" si="35"/>
        <v>56.31637599999999</v>
      </c>
      <c r="K59" s="6">
        <f t="shared" si="35"/>
        <v>55.008939999999996</v>
      </c>
      <c r="L59" s="6">
        <f t="shared" si="35"/>
        <v>50.806608</v>
      </c>
      <c r="M59" s="6">
        <f t="shared" si="35"/>
        <v>46.130995999999996</v>
      </c>
      <c r="N59" s="6">
        <f t="shared" si="35"/>
        <v>47.029241999999996</v>
      </c>
      <c r="O59" s="6">
        <f t="shared" si="35"/>
        <v>59.39072399999999</v>
      </c>
      <c r="P59" s="6">
        <f t="shared" si="35"/>
        <v>61.283843999999995</v>
      </c>
      <c r="Q59" s="47"/>
      <c r="R59" s="47">
        <f t="shared" si="31"/>
        <v>665.664376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129.1689724</v>
      </c>
      <c r="F60" s="6">
        <f t="shared" si="36"/>
        <v>131.2059902</v>
      </c>
      <c r="G60" s="6">
        <f t="shared" si="36"/>
        <v>132.63067800000002</v>
      </c>
      <c r="H60" s="6">
        <f t="shared" si="36"/>
        <v>91.63926670000001</v>
      </c>
      <c r="I60" s="6">
        <f t="shared" si="36"/>
        <v>115.05272480000001</v>
      </c>
      <c r="J60" s="6">
        <f t="shared" si="36"/>
        <v>116.5794676</v>
      </c>
      <c r="K60" s="6">
        <f t="shared" si="36"/>
        <v>113.87296900000001</v>
      </c>
      <c r="L60" s="6">
        <f t="shared" si="36"/>
        <v>105.17380080000001</v>
      </c>
      <c r="M60" s="6">
        <f t="shared" si="36"/>
        <v>95.49490460000001</v>
      </c>
      <c r="N60" s="6">
        <f t="shared" si="36"/>
        <v>97.35434670000001</v>
      </c>
      <c r="O60" s="6">
        <f t="shared" si="36"/>
        <v>122.94361740000001</v>
      </c>
      <c r="P60" s="6">
        <f t="shared" si="36"/>
        <v>126.86252940000001</v>
      </c>
      <c r="Q60" s="47"/>
      <c r="R60" s="47">
        <f t="shared" si="31"/>
        <v>1377.9792676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61.38548</v>
      </c>
      <c r="F61" s="6">
        <f aca="true" t="shared" si="37" ref="F61:P61">$D61*F$7</f>
        <v>62.35354</v>
      </c>
      <c r="G61" s="6">
        <f t="shared" si="37"/>
        <v>63.0306</v>
      </c>
      <c r="H61" s="6">
        <f t="shared" si="37"/>
        <v>43.550090000000004</v>
      </c>
      <c r="I61" s="6">
        <f t="shared" si="37"/>
        <v>54.67696</v>
      </c>
      <c r="J61" s="6">
        <f t="shared" si="37"/>
        <v>55.40252</v>
      </c>
      <c r="K61" s="6">
        <f t="shared" si="37"/>
        <v>54.1163</v>
      </c>
      <c r="L61" s="6">
        <f t="shared" si="37"/>
        <v>49.98216</v>
      </c>
      <c r="M61" s="6">
        <f t="shared" si="37"/>
        <v>45.38242</v>
      </c>
      <c r="N61" s="6">
        <f t="shared" si="37"/>
        <v>46.266090000000005</v>
      </c>
      <c r="O61" s="6">
        <f t="shared" si="37"/>
        <v>58.42698</v>
      </c>
      <c r="P61" s="6">
        <f t="shared" si="37"/>
        <v>60.28938</v>
      </c>
      <c r="Q61" s="47"/>
      <c r="R61" s="47">
        <f t="shared" si="31"/>
        <v>654.86252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592.5120038588001</v>
      </c>
      <c r="F62" s="6">
        <f aca="true" t="shared" si="38" ref="F62:P62">(SUM(F55:F61)-($D60+$C60)*F$7)*$D62</f>
        <v>635.4118253273999</v>
      </c>
      <c r="G62" s="6">
        <f t="shared" si="38"/>
        <v>643.5535934860001</v>
      </c>
      <c r="H62" s="6">
        <f t="shared" si="38"/>
        <v>458.48825283289983</v>
      </c>
      <c r="I62" s="6">
        <f t="shared" si="38"/>
        <v>553.0591159776001</v>
      </c>
      <c r="J62" s="6">
        <f t="shared" si="38"/>
        <v>546.4252548211998</v>
      </c>
      <c r="K62" s="6">
        <f t="shared" si="38"/>
        <v>530.3188817029999</v>
      </c>
      <c r="L62" s="6">
        <f t="shared" si="38"/>
        <v>504.65387008959993</v>
      </c>
      <c r="M62" s="6">
        <f t="shared" si="38"/>
        <v>475.6171314402</v>
      </c>
      <c r="N62" s="6">
        <f t="shared" si="38"/>
        <v>464.85865799289996</v>
      </c>
      <c r="O62" s="6">
        <f t="shared" si="38"/>
        <v>591.6300178738002</v>
      </c>
      <c r="P62" s="6">
        <f t="shared" si="38"/>
        <v>597.2395752177999</v>
      </c>
      <c r="Q62" s="47"/>
      <c r="R62" s="47">
        <f t="shared" si="31"/>
        <v>6593.7681806211995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6510.270280258801</v>
      </c>
      <c r="F67" s="52">
        <f aca="true" t="shared" si="43" ref="F67:P67">SUM(F55:F66)</f>
        <v>6872.5353075274</v>
      </c>
      <c r="G67" s="52">
        <f t="shared" si="43"/>
        <v>6956.770151486001</v>
      </c>
      <c r="H67" s="52">
        <f t="shared" si="43"/>
        <v>4913.705201532899</v>
      </c>
      <c r="I67" s="52">
        <f t="shared" si="43"/>
        <v>5994.521248777601</v>
      </c>
      <c r="J67" s="52">
        <f t="shared" si="43"/>
        <v>5965.969818421199</v>
      </c>
      <c r="K67" s="52">
        <f t="shared" si="43"/>
        <v>5801.001590702999</v>
      </c>
      <c r="L67" s="52">
        <f t="shared" si="43"/>
        <v>5472.7100388896</v>
      </c>
      <c r="M67" s="52">
        <f t="shared" si="43"/>
        <v>5103.7221520402</v>
      </c>
      <c r="N67" s="52">
        <f t="shared" si="43"/>
        <v>5048.223486692899</v>
      </c>
      <c r="O67" s="52">
        <f t="shared" si="43"/>
        <v>6410.601639273801</v>
      </c>
      <c r="P67" s="52">
        <f t="shared" si="43"/>
        <v>6512.4456286178</v>
      </c>
      <c r="Q67" s="53"/>
      <c r="R67" s="54">
        <f>SUM(E67:P67)</f>
        <v>71562.47654422121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4439.689020000001</v>
      </c>
      <c r="F72" s="6">
        <f t="shared" si="46"/>
        <v>4509.703710000001</v>
      </c>
      <c r="G72" s="6">
        <f t="shared" si="46"/>
        <v>4558.6719</v>
      </c>
      <c r="H72" s="6">
        <f t="shared" si="46"/>
        <v>3149.7490350000003</v>
      </c>
      <c r="I72" s="6">
        <f t="shared" si="46"/>
        <v>3954.4970400000007</v>
      </c>
      <c r="J72" s="6">
        <f t="shared" si="46"/>
        <v>4006.9729800000005</v>
      </c>
      <c r="K72" s="6">
        <f t="shared" si="46"/>
        <v>3913.9474500000006</v>
      </c>
      <c r="L72" s="6">
        <f t="shared" si="46"/>
        <v>3614.9468400000005</v>
      </c>
      <c r="M72" s="6">
        <f t="shared" si="46"/>
        <v>3282.2718300000006</v>
      </c>
      <c r="N72" s="6">
        <f t="shared" si="46"/>
        <v>3346.1830350000005</v>
      </c>
      <c r="O72" s="6">
        <f t="shared" si="46"/>
        <v>4225.716270000001</v>
      </c>
      <c r="P72" s="6">
        <f t="shared" si="46"/>
        <v>4360.41387</v>
      </c>
      <c r="Q72" s="47"/>
      <c r="R72" s="47">
        <f t="shared" si="45"/>
        <v>47362.762980000014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582.1362</v>
      </c>
      <c r="F73" s="6">
        <f t="shared" si="47"/>
        <v>795.9599999999999</v>
      </c>
      <c r="G73" s="6">
        <f t="shared" si="47"/>
        <v>812.9645999999999</v>
      </c>
      <c r="H73" s="6">
        <f t="shared" si="47"/>
        <v>621.9342</v>
      </c>
      <c r="I73" s="6">
        <f t="shared" si="47"/>
        <v>663.5412</v>
      </c>
      <c r="J73" s="6">
        <f t="shared" si="47"/>
        <v>588.6486</v>
      </c>
      <c r="K73" s="6">
        <f t="shared" si="47"/>
        <v>552.4685999999999</v>
      </c>
      <c r="L73" s="6">
        <f t="shared" si="47"/>
        <v>594.4374</v>
      </c>
      <c r="M73" s="6">
        <f t="shared" si="47"/>
        <v>638.2152</v>
      </c>
      <c r="N73" s="6">
        <f t="shared" si="47"/>
        <v>530.7606</v>
      </c>
      <c r="O73" s="6">
        <f t="shared" si="47"/>
        <v>718.173</v>
      </c>
      <c r="P73" s="6">
        <f t="shared" si="47"/>
        <v>663.1793999999999</v>
      </c>
      <c r="Q73" s="47"/>
      <c r="R73" s="47">
        <f t="shared" si="45"/>
        <v>7762.418999999999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129.1689724</v>
      </c>
      <c r="F75" s="6">
        <f t="shared" si="49"/>
        <v>131.2059902</v>
      </c>
      <c r="G75" s="6">
        <f t="shared" si="49"/>
        <v>132.63067800000002</v>
      </c>
      <c r="H75" s="6">
        <f t="shared" si="49"/>
        <v>91.63926670000001</v>
      </c>
      <c r="I75" s="6">
        <f t="shared" si="49"/>
        <v>115.05272480000001</v>
      </c>
      <c r="J75" s="6">
        <f t="shared" si="49"/>
        <v>116.5794676</v>
      </c>
      <c r="K75" s="6">
        <f t="shared" si="49"/>
        <v>113.87296900000001</v>
      </c>
      <c r="L75" s="6">
        <f t="shared" si="49"/>
        <v>105.17380080000001</v>
      </c>
      <c r="M75" s="6">
        <f t="shared" si="49"/>
        <v>95.49490460000001</v>
      </c>
      <c r="N75" s="6">
        <f t="shared" si="49"/>
        <v>97.35434670000001</v>
      </c>
      <c r="O75" s="6">
        <f t="shared" si="49"/>
        <v>122.94361740000001</v>
      </c>
      <c r="P75" s="6">
        <f t="shared" si="49"/>
        <v>126.86252940000001</v>
      </c>
      <c r="Q75" s="47"/>
      <c r="R75" s="47">
        <f t="shared" si="45"/>
        <v>1377.9792676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62.39802399999999</v>
      </c>
      <c r="F76" s="6">
        <f t="shared" si="50"/>
        <v>63.382051999999995</v>
      </c>
      <c r="G76" s="6">
        <f t="shared" si="50"/>
        <v>64.07028</v>
      </c>
      <c r="H76" s="6">
        <f t="shared" si="50"/>
        <v>44.26844199999999</v>
      </c>
      <c r="I76" s="6">
        <f t="shared" si="50"/>
        <v>55.578847999999994</v>
      </c>
      <c r="J76" s="6">
        <f t="shared" si="50"/>
        <v>56.31637599999999</v>
      </c>
      <c r="K76" s="6">
        <f t="shared" si="50"/>
        <v>55.008939999999996</v>
      </c>
      <c r="L76" s="6">
        <f t="shared" si="50"/>
        <v>50.806608</v>
      </c>
      <c r="M76" s="6">
        <f t="shared" si="50"/>
        <v>46.130995999999996</v>
      </c>
      <c r="N76" s="6">
        <f t="shared" si="50"/>
        <v>47.029241999999996</v>
      </c>
      <c r="O76" s="6">
        <f t="shared" si="50"/>
        <v>59.39072399999999</v>
      </c>
      <c r="P76" s="6">
        <f t="shared" si="50"/>
        <v>61.283843999999995</v>
      </c>
      <c r="Q76" s="47"/>
      <c r="R76" s="47">
        <f t="shared" si="45"/>
        <v>665.664376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74.80168800000001</v>
      </c>
      <c r="F77" s="6">
        <f aca="true" t="shared" si="51" ref="F77:P77">$D77*F$7</f>
        <v>75.981324</v>
      </c>
      <c r="G77" s="6">
        <f t="shared" si="51"/>
        <v>76.80636000000001</v>
      </c>
      <c r="H77" s="6">
        <f t="shared" si="51"/>
        <v>53.068254</v>
      </c>
      <c r="I77" s="6">
        <f t="shared" si="51"/>
        <v>66.626976</v>
      </c>
      <c r="J77" s="6">
        <f t="shared" si="51"/>
        <v>67.51111200000001</v>
      </c>
      <c r="K77" s="6">
        <f t="shared" si="51"/>
        <v>65.94378</v>
      </c>
      <c r="L77" s="6">
        <f t="shared" si="51"/>
        <v>60.906096000000005</v>
      </c>
      <c r="M77" s="6">
        <f t="shared" si="51"/>
        <v>55.301052000000006</v>
      </c>
      <c r="N77" s="6">
        <f t="shared" si="51"/>
        <v>56.377854000000006</v>
      </c>
      <c r="O77" s="6">
        <f t="shared" si="51"/>
        <v>71.196588</v>
      </c>
      <c r="P77" s="6">
        <f t="shared" si="51"/>
        <v>73.46602800000001</v>
      </c>
      <c r="Q77" s="47"/>
      <c r="R77" s="47">
        <f t="shared" si="45"/>
        <v>797.9871120000001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87.96476</v>
      </c>
      <c r="F80" s="6">
        <f t="shared" si="54"/>
        <v>89.35198</v>
      </c>
      <c r="G80" s="6">
        <f t="shared" si="54"/>
        <v>90.3222</v>
      </c>
      <c r="H80" s="6">
        <f t="shared" si="54"/>
        <v>62.40683</v>
      </c>
      <c r="I80" s="6">
        <f t="shared" si="54"/>
        <v>78.35152</v>
      </c>
      <c r="J80" s="6">
        <f t="shared" si="54"/>
        <v>79.39124</v>
      </c>
      <c r="K80" s="6">
        <f t="shared" si="54"/>
        <v>77.54809999999999</v>
      </c>
      <c r="L80" s="6">
        <f t="shared" si="54"/>
        <v>71.62392</v>
      </c>
      <c r="M80" s="6">
        <f t="shared" si="54"/>
        <v>65.03254</v>
      </c>
      <c r="N80" s="6">
        <f t="shared" si="54"/>
        <v>66.29883</v>
      </c>
      <c r="O80" s="6">
        <f t="shared" si="54"/>
        <v>83.72525999999999</v>
      </c>
      <c r="P80" s="6">
        <f t="shared" si="54"/>
        <v>86.39406</v>
      </c>
      <c r="Q80" s="47"/>
      <c r="R80" s="47">
        <f t="shared" si="45"/>
        <v>938.41124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72.405</v>
      </c>
      <c r="F81" s="6">
        <f t="shared" si="55"/>
        <v>99</v>
      </c>
      <c r="G81" s="6">
        <f t="shared" si="55"/>
        <v>101.115</v>
      </c>
      <c r="H81" s="6">
        <f t="shared" si="55"/>
        <v>77.355</v>
      </c>
      <c r="I81" s="6">
        <f t="shared" si="55"/>
        <v>82.53</v>
      </c>
      <c r="J81" s="6">
        <f t="shared" si="55"/>
        <v>73.215</v>
      </c>
      <c r="K81" s="6">
        <f t="shared" si="55"/>
        <v>68.715</v>
      </c>
      <c r="L81" s="6">
        <f t="shared" si="55"/>
        <v>73.935</v>
      </c>
      <c r="M81" s="6">
        <f t="shared" si="55"/>
        <v>79.38000000000001</v>
      </c>
      <c r="N81" s="6">
        <f t="shared" si="55"/>
        <v>66.015</v>
      </c>
      <c r="O81" s="6">
        <f t="shared" si="55"/>
        <v>89.325</v>
      </c>
      <c r="P81" s="6">
        <f t="shared" si="55"/>
        <v>82.485</v>
      </c>
      <c r="Q81" s="47"/>
      <c r="R81" s="47">
        <f t="shared" si="45"/>
        <v>965.475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224.72266559432398</v>
      </c>
      <c r="F82" s="6">
        <f t="shared" si="56"/>
        <v>242.51725381100206</v>
      </c>
      <c r="G82" s="6">
        <f t="shared" si="56"/>
        <v>245.67870657697995</v>
      </c>
      <c r="H82" s="6">
        <f t="shared" si="56"/>
        <v>175.60633209941696</v>
      </c>
      <c r="I82" s="6">
        <f t="shared" si="56"/>
        <v>210.901782850048</v>
      </c>
      <c r="J82" s="6">
        <f t="shared" si="56"/>
        <v>207.76740423567597</v>
      </c>
      <c r="K82" s="6">
        <f t="shared" si="56"/>
        <v>201.49004466338997</v>
      </c>
      <c r="L82" s="6">
        <f t="shared" si="56"/>
        <v>192.39871913520798</v>
      </c>
      <c r="M82" s="6">
        <f t="shared" si="56"/>
        <v>182.079131003746</v>
      </c>
      <c r="N82" s="6">
        <f t="shared" si="56"/>
        <v>177.124061451017</v>
      </c>
      <c r="O82" s="6">
        <f t="shared" si="56"/>
        <v>225.641680282874</v>
      </c>
      <c r="P82" s="6">
        <f t="shared" si="56"/>
        <v>227.2095313087939</v>
      </c>
      <c r="Q82" s="47"/>
      <c r="R82" s="47">
        <f t="shared" si="45"/>
        <v>2513.1373130124753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353.610747551484</v>
      </c>
      <c r="F83" s="6">
        <f t="shared" si="57"/>
        <v>381.6112949151821</v>
      </c>
      <c r="G83" s="6">
        <f t="shared" si="57"/>
        <v>386.58597636517993</v>
      </c>
      <c r="H83" s="6">
        <f t="shared" si="57"/>
        <v>276.324091315947</v>
      </c>
      <c r="I83" s="6">
        <f t="shared" si="57"/>
        <v>331.86299609036803</v>
      </c>
      <c r="J83" s="6">
        <f t="shared" si="57"/>
        <v>326.930916978516</v>
      </c>
      <c r="K83" s="6">
        <f t="shared" si="57"/>
        <v>317.05322259849</v>
      </c>
      <c r="L83" s="6">
        <f t="shared" si="57"/>
        <v>302.747632159928</v>
      </c>
      <c r="M83" s="6">
        <f t="shared" si="57"/>
        <v>286.509317862886</v>
      </c>
      <c r="N83" s="6">
        <f t="shared" si="57"/>
        <v>278.712303511547</v>
      </c>
      <c r="O83" s="6">
        <f t="shared" si="57"/>
        <v>355.056856559534</v>
      </c>
      <c r="P83" s="6">
        <f t="shared" si="57"/>
        <v>357.5239373582539</v>
      </c>
      <c r="R83" s="47">
        <f t="shared" si="45"/>
        <v>3954.5292932673156</v>
      </c>
      <c r="S83" s="20"/>
    </row>
    <row r="84" spans="1:18" ht="15.75" thickBot="1">
      <c r="A84" s="40"/>
      <c r="D84" s="9" t="s">
        <v>24</v>
      </c>
      <c r="E84" s="52">
        <f>SUM(E71:E83)</f>
        <v>6112.047077545808</v>
      </c>
      <c r="F84" s="52">
        <f aca="true" t="shared" si="58" ref="F84:P84">SUM(F71:F83)</f>
        <v>6473.863604926185</v>
      </c>
      <c r="G84" s="52">
        <f t="shared" si="58"/>
        <v>6553.995700942159</v>
      </c>
      <c r="H84" s="52">
        <f t="shared" si="58"/>
        <v>4637.501451115364</v>
      </c>
      <c r="I84" s="52">
        <f t="shared" si="58"/>
        <v>5644.093087740416</v>
      </c>
      <c r="J84" s="52">
        <f t="shared" si="58"/>
        <v>5608.483096814191</v>
      </c>
      <c r="K84" s="52">
        <f t="shared" si="58"/>
        <v>5451.19810626188</v>
      </c>
      <c r="L84" s="52">
        <f t="shared" si="58"/>
        <v>5152.126016095136</v>
      </c>
      <c r="M84" s="52">
        <f t="shared" si="58"/>
        <v>4815.5649714666315</v>
      </c>
      <c r="N84" s="52">
        <f t="shared" si="58"/>
        <v>4751.0052726625645</v>
      </c>
      <c r="O84" s="52">
        <f t="shared" si="58"/>
        <v>6036.3189962424085</v>
      </c>
      <c r="P84" s="52">
        <f t="shared" si="58"/>
        <v>6123.968200067046</v>
      </c>
      <c r="Q84" s="53"/>
      <c r="R84" s="54">
        <f>SUM(E84:P84)</f>
        <v>67360.16558187979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34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97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94020</v>
      </c>
      <c r="F7" s="75">
        <v>103222</v>
      </c>
      <c r="G7" s="75">
        <v>102028</v>
      </c>
      <c r="H7" s="75">
        <v>95632</v>
      </c>
      <c r="I7" s="75">
        <v>102844</v>
      </c>
      <c r="J7" s="75">
        <v>97645</v>
      </c>
      <c r="K7" s="75">
        <v>82838</v>
      </c>
      <c r="L7" s="75">
        <v>70435</v>
      </c>
      <c r="M7" s="75">
        <v>82833</v>
      </c>
      <c r="N7" s="75">
        <v>107635</v>
      </c>
      <c r="O7" s="75">
        <v>109229</v>
      </c>
      <c r="P7" s="75">
        <v>99625</v>
      </c>
      <c r="R7" s="4">
        <f>SUM(E7:P7)</f>
        <v>1147986</v>
      </c>
      <c r="S7" s="15">
        <f>R7/(8760*MAX(E10:P10))</f>
        <v>0.4680308219178082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280</v>
      </c>
      <c r="C10" s="34"/>
      <c r="D10" s="10" t="s">
        <v>5</v>
      </c>
      <c r="E10" s="75">
        <v>168</v>
      </c>
      <c r="F10" s="75">
        <v>276</v>
      </c>
      <c r="G10" s="75">
        <v>280</v>
      </c>
      <c r="H10" s="75">
        <v>240</v>
      </c>
      <c r="I10" s="75">
        <v>236</v>
      </c>
      <c r="J10" s="75">
        <v>228</v>
      </c>
      <c r="K10" s="75">
        <v>212</v>
      </c>
      <c r="L10" s="75">
        <v>220</v>
      </c>
      <c r="M10" s="75">
        <v>216</v>
      </c>
      <c r="N10" s="75">
        <v>232</v>
      </c>
      <c r="O10" s="75">
        <v>268</v>
      </c>
      <c r="P10" s="75">
        <v>192</v>
      </c>
      <c r="R10" s="4">
        <f>SUM(E10:P10)</f>
        <v>2768</v>
      </c>
      <c r="W10" s="15" t="s">
        <v>46</v>
      </c>
      <c r="X10" s="20"/>
    </row>
    <row r="11" spans="2:24" ht="15">
      <c r="B11" s="34">
        <f>MAX(E11:P11)</f>
        <v>280</v>
      </c>
      <c r="C11" s="34"/>
      <c r="D11" s="10" t="s">
        <v>6</v>
      </c>
      <c r="E11" s="75">
        <v>168</v>
      </c>
      <c r="F11" s="75">
        <v>276</v>
      </c>
      <c r="G11" s="75">
        <v>280</v>
      </c>
      <c r="H11" s="75">
        <v>240</v>
      </c>
      <c r="I11" s="75">
        <v>236</v>
      </c>
      <c r="J11" s="75">
        <v>228</v>
      </c>
      <c r="K11" s="75">
        <v>212</v>
      </c>
      <c r="L11" s="75">
        <v>220</v>
      </c>
      <c r="M11" s="75">
        <v>216</v>
      </c>
      <c r="N11" s="75">
        <v>232</v>
      </c>
      <c r="O11" s="75">
        <v>268</v>
      </c>
      <c r="P11" s="75">
        <v>192</v>
      </c>
      <c r="R11" s="4">
        <f>SUM(E11:P11)</f>
        <v>2768</v>
      </c>
      <c r="W11" s="15" t="s">
        <v>47</v>
      </c>
      <c r="X11" s="20"/>
    </row>
    <row r="12" spans="2:24" ht="15">
      <c r="B12" s="34">
        <f>MAX(E12:P12)</f>
        <v>280</v>
      </c>
      <c r="C12" s="34"/>
      <c r="D12" s="10" t="s">
        <v>7</v>
      </c>
      <c r="E12" s="75">
        <v>168</v>
      </c>
      <c r="F12" s="75">
        <v>276</v>
      </c>
      <c r="G12" s="75">
        <v>280</v>
      </c>
      <c r="H12" s="75">
        <v>240</v>
      </c>
      <c r="I12" s="75">
        <v>236</v>
      </c>
      <c r="J12" s="75">
        <v>228</v>
      </c>
      <c r="K12" s="75">
        <v>212</v>
      </c>
      <c r="L12" s="75">
        <v>220</v>
      </c>
      <c r="M12" s="75">
        <v>216</v>
      </c>
      <c r="N12" s="75">
        <v>232</v>
      </c>
      <c r="O12" s="75">
        <v>268</v>
      </c>
      <c r="P12" s="75">
        <v>192</v>
      </c>
      <c r="R12" s="4">
        <f>SUM(E12:P12)</f>
        <v>2768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7328.859</v>
      </c>
      <c r="F56" s="6">
        <f t="shared" si="32"/>
        <v>8046.1549</v>
      </c>
      <c r="G56" s="6">
        <f t="shared" si="32"/>
        <v>7953.082600000001</v>
      </c>
      <c r="H56" s="6">
        <f t="shared" si="32"/>
        <v>7454.514400000001</v>
      </c>
      <c r="I56" s="6">
        <f t="shared" si="32"/>
        <v>8016.6898</v>
      </c>
      <c r="J56" s="6">
        <f t="shared" si="32"/>
        <v>7611.427750000001</v>
      </c>
      <c r="K56" s="6">
        <f t="shared" si="32"/>
        <v>6457.222100000001</v>
      </c>
      <c r="L56" s="6">
        <f t="shared" si="32"/>
        <v>5490.40825</v>
      </c>
      <c r="M56" s="6">
        <f t="shared" si="32"/>
        <v>6456.832350000001</v>
      </c>
      <c r="N56" s="6">
        <f t="shared" si="32"/>
        <v>8390.14825</v>
      </c>
      <c r="O56" s="6">
        <f t="shared" si="32"/>
        <v>8514.40055</v>
      </c>
      <c r="P56" s="6">
        <f t="shared" si="32"/>
        <v>7765.76875</v>
      </c>
      <c r="Q56" s="47"/>
      <c r="R56" s="47">
        <f t="shared" si="31"/>
        <v>89485.50870000002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675.3599999999999</v>
      </c>
      <c r="F57" s="6">
        <f t="shared" si="33"/>
        <v>1109.52</v>
      </c>
      <c r="G57" s="6">
        <f t="shared" si="33"/>
        <v>1125.6</v>
      </c>
      <c r="H57" s="6">
        <f t="shared" si="33"/>
        <v>964.8</v>
      </c>
      <c r="I57" s="6">
        <f t="shared" si="33"/>
        <v>948.7199999999999</v>
      </c>
      <c r="J57" s="6">
        <f t="shared" si="33"/>
        <v>916.56</v>
      </c>
      <c r="K57" s="6">
        <f t="shared" si="33"/>
        <v>852.2399999999999</v>
      </c>
      <c r="L57" s="6">
        <f t="shared" si="33"/>
        <v>884.3999999999999</v>
      </c>
      <c r="M57" s="6">
        <f t="shared" si="33"/>
        <v>868.3199999999999</v>
      </c>
      <c r="N57" s="6">
        <f t="shared" si="33"/>
        <v>932.6399999999999</v>
      </c>
      <c r="O57" s="6">
        <f t="shared" si="33"/>
        <v>1077.36</v>
      </c>
      <c r="P57" s="6">
        <f t="shared" si="33"/>
        <v>771.8399999999999</v>
      </c>
      <c r="Q57" s="47"/>
      <c r="R57" s="47">
        <f t="shared" si="31"/>
        <v>11127.359999999999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92.70371999999999</v>
      </c>
      <c r="F59" s="6">
        <f t="shared" si="35"/>
        <v>101.77689199999999</v>
      </c>
      <c r="G59" s="6">
        <f t="shared" si="35"/>
        <v>100.59960799999999</v>
      </c>
      <c r="H59" s="6">
        <f t="shared" si="35"/>
        <v>94.29315199999999</v>
      </c>
      <c r="I59" s="6">
        <f t="shared" si="35"/>
        <v>101.40418399999999</v>
      </c>
      <c r="J59" s="6">
        <f t="shared" si="35"/>
        <v>96.27797</v>
      </c>
      <c r="K59" s="6">
        <f t="shared" si="35"/>
        <v>81.67826799999999</v>
      </c>
      <c r="L59" s="6">
        <f t="shared" si="35"/>
        <v>69.44891</v>
      </c>
      <c r="M59" s="6">
        <f t="shared" si="35"/>
        <v>81.67333799999999</v>
      </c>
      <c r="N59" s="6">
        <f t="shared" si="35"/>
        <v>106.12810999999999</v>
      </c>
      <c r="O59" s="6">
        <f t="shared" si="35"/>
        <v>107.69979399999998</v>
      </c>
      <c r="P59" s="6">
        <f t="shared" si="35"/>
        <v>98.23024999999998</v>
      </c>
      <c r="Q59" s="47"/>
      <c r="R59" s="47">
        <f t="shared" si="31"/>
        <v>1131.9141959999997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191.904222</v>
      </c>
      <c r="F60" s="6">
        <f t="shared" si="36"/>
        <v>210.6864242</v>
      </c>
      <c r="G60" s="6">
        <f t="shared" si="36"/>
        <v>208.2493508</v>
      </c>
      <c r="H60" s="6">
        <f t="shared" si="36"/>
        <v>195.1944752</v>
      </c>
      <c r="I60" s="6">
        <f t="shared" si="36"/>
        <v>209.91488840000002</v>
      </c>
      <c r="J60" s="6">
        <f t="shared" si="36"/>
        <v>199.3032095</v>
      </c>
      <c r="K60" s="6">
        <f t="shared" si="36"/>
        <v>169.08064180000002</v>
      </c>
      <c r="L60" s="6">
        <f t="shared" si="36"/>
        <v>143.7648785</v>
      </c>
      <c r="M60" s="6">
        <f t="shared" si="36"/>
        <v>169.0704363</v>
      </c>
      <c r="N60" s="6">
        <f t="shared" si="36"/>
        <v>219.6937985</v>
      </c>
      <c r="O60" s="6">
        <f t="shared" si="36"/>
        <v>222.94731190000002</v>
      </c>
      <c r="P60" s="6">
        <f t="shared" si="36"/>
        <v>203.34458750000002</v>
      </c>
      <c r="Q60" s="47"/>
      <c r="R60" s="47">
        <f t="shared" si="31"/>
        <v>2343.1542246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91.19940000000001</v>
      </c>
      <c r="F61" s="6">
        <f aca="true" t="shared" si="37" ref="F61:P61">$D61*F$7</f>
        <v>100.12534000000001</v>
      </c>
      <c r="G61" s="6">
        <f t="shared" si="37"/>
        <v>98.96716</v>
      </c>
      <c r="H61" s="6">
        <f t="shared" si="37"/>
        <v>92.76304</v>
      </c>
      <c r="I61" s="6">
        <f t="shared" si="37"/>
        <v>99.75868</v>
      </c>
      <c r="J61" s="6">
        <f t="shared" si="37"/>
        <v>94.71565000000001</v>
      </c>
      <c r="K61" s="6">
        <f t="shared" si="37"/>
        <v>80.35286</v>
      </c>
      <c r="L61" s="6">
        <f t="shared" si="37"/>
        <v>68.32195</v>
      </c>
      <c r="M61" s="6">
        <f t="shared" si="37"/>
        <v>80.34801</v>
      </c>
      <c r="N61" s="6">
        <f t="shared" si="37"/>
        <v>104.40595</v>
      </c>
      <c r="O61" s="6">
        <f t="shared" si="37"/>
        <v>105.95213000000001</v>
      </c>
      <c r="P61" s="6">
        <f t="shared" si="37"/>
        <v>96.63625</v>
      </c>
      <c r="Q61" s="47"/>
      <c r="R61" s="47">
        <f t="shared" si="31"/>
        <v>1113.54642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831.7585391139997</v>
      </c>
      <c r="F62" s="6">
        <f aca="true" t="shared" si="38" ref="F62:P62">(SUM(F55:F61)-($D60+$C60)*F$7)*$D62</f>
        <v>966.5686876853999</v>
      </c>
      <c r="G62" s="6">
        <f t="shared" si="38"/>
        <v>959.8263612396001</v>
      </c>
      <c r="H62" s="6">
        <f t="shared" si="38"/>
        <v>887.0513650224001</v>
      </c>
      <c r="I62" s="6">
        <f t="shared" si="38"/>
        <v>939.8077148508003</v>
      </c>
      <c r="J62" s="6">
        <f t="shared" si="38"/>
        <v>895.2816672764999</v>
      </c>
      <c r="K62" s="6">
        <f t="shared" si="38"/>
        <v>772.5180684566001</v>
      </c>
      <c r="L62" s="6">
        <f t="shared" si="38"/>
        <v>682.4580675794999</v>
      </c>
      <c r="M62" s="6">
        <f t="shared" si="38"/>
        <v>774.8669141281</v>
      </c>
      <c r="N62" s="6">
        <f t="shared" si="38"/>
        <v>974.0529396195</v>
      </c>
      <c r="O62" s="6">
        <f t="shared" si="38"/>
        <v>1007.7244523453</v>
      </c>
      <c r="P62" s="6">
        <f t="shared" si="38"/>
        <v>888.9371933624999</v>
      </c>
      <c r="Q62" s="47"/>
      <c r="R62" s="47">
        <f t="shared" si="31"/>
        <v>10580.8519706802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9296.784881114</v>
      </c>
      <c r="F67" s="52">
        <f aca="true" t="shared" si="43" ref="F67:P67">SUM(F55:F66)</f>
        <v>10619.8322438854</v>
      </c>
      <c r="G67" s="52">
        <f t="shared" si="43"/>
        <v>10531.325080039602</v>
      </c>
      <c r="H67" s="52">
        <f t="shared" si="43"/>
        <v>9773.616432222401</v>
      </c>
      <c r="I67" s="52">
        <f t="shared" si="43"/>
        <v>10401.295267250802</v>
      </c>
      <c r="J67" s="52">
        <f t="shared" si="43"/>
        <v>9898.5662467765</v>
      </c>
      <c r="K67" s="52">
        <f t="shared" si="43"/>
        <v>8498.0919382566</v>
      </c>
      <c r="L67" s="52">
        <f t="shared" si="43"/>
        <v>7423.802056079499</v>
      </c>
      <c r="M67" s="52">
        <f t="shared" si="43"/>
        <v>8516.1110484281</v>
      </c>
      <c r="N67" s="52">
        <f t="shared" si="43"/>
        <v>10812.0690481195</v>
      </c>
      <c r="O67" s="52">
        <f t="shared" si="43"/>
        <v>11121.084238245301</v>
      </c>
      <c r="P67" s="52">
        <f t="shared" si="43"/>
        <v>9909.7570308625</v>
      </c>
      <c r="Q67" s="53"/>
      <c r="R67" s="54">
        <f>SUM(E67:P67)</f>
        <v>116802.33551128021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6595.973100000001</v>
      </c>
      <c r="F72" s="6">
        <f t="shared" si="46"/>
        <v>7241.539410000001</v>
      </c>
      <c r="G72" s="6">
        <f t="shared" si="46"/>
        <v>7157.774340000001</v>
      </c>
      <c r="H72" s="6">
        <f t="shared" si="46"/>
        <v>6709.062960000001</v>
      </c>
      <c r="I72" s="6">
        <f t="shared" si="46"/>
        <v>7215.020820000001</v>
      </c>
      <c r="J72" s="6">
        <f t="shared" si="46"/>
        <v>6850.2849750000005</v>
      </c>
      <c r="K72" s="6">
        <f t="shared" si="46"/>
        <v>5811.499890000001</v>
      </c>
      <c r="L72" s="6">
        <f t="shared" si="46"/>
        <v>4941.367425</v>
      </c>
      <c r="M72" s="6">
        <f t="shared" si="46"/>
        <v>5811.149115000001</v>
      </c>
      <c r="N72" s="6">
        <f t="shared" si="46"/>
        <v>7551.133425000001</v>
      </c>
      <c r="O72" s="6">
        <f t="shared" si="46"/>
        <v>7662.960495000001</v>
      </c>
      <c r="P72" s="6">
        <f t="shared" si="46"/>
        <v>6989.191875000001</v>
      </c>
      <c r="Q72" s="47"/>
      <c r="R72" s="47">
        <f t="shared" si="45"/>
        <v>80536.95783000001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607.824</v>
      </c>
      <c r="F73" s="6">
        <f t="shared" si="47"/>
        <v>998.568</v>
      </c>
      <c r="G73" s="6">
        <f t="shared" si="47"/>
        <v>1013.04</v>
      </c>
      <c r="H73" s="6">
        <f t="shared" si="47"/>
        <v>868.3199999999999</v>
      </c>
      <c r="I73" s="6">
        <f t="shared" si="47"/>
        <v>853.848</v>
      </c>
      <c r="J73" s="6">
        <f t="shared" si="47"/>
        <v>824.904</v>
      </c>
      <c r="K73" s="6">
        <f t="shared" si="47"/>
        <v>767.016</v>
      </c>
      <c r="L73" s="6">
        <f t="shared" si="47"/>
        <v>795.9599999999999</v>
      </c>
      <c r="M73" s="6">
        <f t="shared" si="47"/>
        <v>781.4879999999999</v>
      </c>
      <c r="N73" s="6">
        <f t="shared" si="47"/>
        <v>839.376</v>
      </c>
      <c r="O73" s="6">
        <f t="shared" si="47"/>
        <v>969.624</v>
      </c>
      <c r="P73" s="6">
        <f t="shared" si="47"/>
        <v>694.656</v>
      </c>
      <c r="Q73" s="47"/>
      <c r="R73" s="47">
        <f t="shared" si="45"/>
        <v>10014.624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191.904222</v>
      </c>
      <c r="F75" s="6">
        <f t="shared" si="49"/>
        <v>210.6864242</v>
      </c>
      <c r="G75" s="6">
        <f t="shared" si="49"/>
        <v>208.2493508</v>
      </c>
      <c r="H75" s="6">
        <f t="shared" si="49"/>
        <v>195.1944752</v>
      </c>
      <c r="I75" s="6">
        <f t="shared" si="49"/>
        <v>209.91488840000002</v>
      </c>
      <c r="J75" s="6">
        <f t="shared" si="49"/>
        <v>199.3032095</v>
      </c>
      <c r="K75" s="6">
        <f t="shared" si="49"/>
        <v>169.08064180000002</v>
      </c>
      <c r="L75" s="6">
        <f t="shared" si="49"/>
        <v>143.7648785</v>
      </c>
      <c r="M75" s="6">
        <f t="shared" si="49"/>
        <v>169.0704363</v>
      </c>
      <c r="N75" s="6">
        <f t="shared" si="49"/>
        <v>219.6937985</v>
      </c>
      <c r="O75" s="6">
        <f t="shared" si="49"/>
        <v>222.94731190000002</v>
      </c>
      <c r="P75" s="6">
        <f t="shared" si="49"/>
        <v>203.34458750000002</v>
      </c>
      <c r="Q75" s="47"/>
      <c r="R75" s="47">
        <f t="shared" si="45"/>
        <v>2343.1542246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92.70371999999999</v>
      </c>
      <c r="F76" s="6">
        <f t="shared" si="50"/>
        <v>101.77689199999999</v>
      </c>
      <c r="G76" s="6">
        <f t="shared" si="50"/>
        <v>100.59960799999999</v>
      </c>
      <c r="H76" s="6">
        <f t="shared" si="50"/>
        <v>94.29315199999999</v>
      </c>
      <c r="I76" s="6">
        <f t="shared" si="50"/>
        <v>101.40418399999999</v>
      </c>
      <c r="J76" s="6">
        <f t="shared" si="50"/>
        <v>96.27797</v>
      </c>
      <c r="K76" s="6">
        <f t="shared" si="50"/>
        <v>81.67826799999999</v>
      </c>
      <c r="L76" s="6">
        <f t="shared" si="50"/>
        <v>69.44891</v>
      </c>
      <c r="M76" s="6">
        <f t="shared" si="50"/>
        <v>81.67333799999999</v>
      </c>
      <c r="N76" s="6">
        <f t="shared" si="50"/>
        <v>106.12810999999999</v>
      </c>
      <c r="O76" s="6">
        <f t="shared" si="50"/>
        <v>107.69979399999998</v>
      </c>
      <c r="P76" s="6">
        <f t="shared" si="50"/>
        <v>98.23024999999998</v>
      </c>
      <c r="Q76" s="47"/>
      <c r="R76" s="47">
        <f t="shared" si="45"/>
        <v>1131.9141959999997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111.13164</v>
      </c>
      <c r="F77" s="6">
        <f aca="true" t="shared" si="51" ref="F77:P77">$D77*F$7</f>
        <v>122.00840400000001</v>
      </c>
      <c r="G77" s="6">
        <f t="shared" si="51"/>
        <v>120.59709600000001</v>
      </c>
      <c r="H77" s="6">
        <f t="shared" si="51"/>
        <v>113.03702400000002</v>
      </c>
      <c r="I77" s="6">
        <f t="shared" si="51"/>
        <v>121.561608</v>
      </c>
      <c r="J77" s="6">
        <f t="shared" si="51"/>
        <v>115.41639</v>
      </c>
      <c r="K77" s="6">
        <f t="shared" si="51"/>
        <v>97.914516</v>
      </c>
      <c r="L77" s="6">
        <f t="shared" si="51"/>
        <v>83.25417</v>
      </c>
      <c r="M77" s="6">
        <f t="shared" si="51"/>
        <v>97.908606</v>
      </c>
      <c r="N77" s="6">
        <f t="shared" si="51"/>
        <v>127.22457000000001</v>
      </c>
      <c r="O77" s="6">
        <f t="shared" si="51"/>
        <v>129.108678</v>
      </c>
      <c r="P77" s="6">
        <f t="shared" si="51"/>
        <v>117.75675000000001</v>
      </c>
      <c r="Q77" s="47"/>
      <c r="R77" s="47">
        <f t="shared" si="45"/>
        <v>1356.919452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130.6878</v>
      </c>
      <c r="F80" s="6">
        <f t="shared" si="54"/>
        <v>143.47858</v>
      </c>
      <c r="G80" s="6">
        <f t="shared" si="54"/>
        <v>141.81892</v>
      </c>
      <c r="H80" s="6">
        <f t="shared" si="54"/>
        <v>132.92848</v>
      </c>
      <c r="I80" s="6">
        <f t="shared" si="54"/>
        <v>142.95316</v>
      </c>
      <c r="J80" s="6">
        <f t="shared" si="54"/>
        <v>135.72655</v>
      </c>
      <c r="K80" s="6">
        <f t="shared" si="54"/>
        <v>115.14482</v>
      </c>
      <c r="L80" s="6">
        <f t="shared" si="54"/>
        <v>97.90465</v>
      </c>
      <c r="M80" s="6">
        <f t="shared" si="54"/>
        <v>115.13786999999999</v>
      </c>
      <c r="N80" s="6">
        <f t="shared" si="54"/>
        <v>149.61265</v>
      </c>
      <c r="O80" s="6">
        <f t="shared" si="54"/>
        <v>151.82831</v>
      </c>
      <c r="P80" s="6">
        <f t="shared" si="54"/>
        <v>138.47875</v>
      </c>
      <c r="Q80" s="47"/>
      <c r="R80" s="47">
        <f t="shared" si="45"/>
        <v>1595.70054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75.60000000000001</v>
      </c>
      <c r="F81" s="6">
        <f t="shared" si="55"/>
        <v>124.2</v>
      </c>
      <c r="G81" s="6">
        <f t="shared" si="55"/>
        <v>126</v>
      </c>
      <c r="H81" s="6">
        <f t="shared" si="55"/>
        <v>108</v>
      </c>
      <c r="I81" s="6">
        <f t="shared" si="55"/>
        <v>106.2</v>
      </c>
      <c r="J81" s="6">
        <f t="shared" si="55"/>
        <v>102.60000000000001</v>
      </c>
      <c r="K81" s="6">
        <f t="shared" si="55"/>
        <v>95.4</v>
      </c>
      <c r="L81" s="6">
        <f t="shared" si="55"/>
        <v>99</v>
      </c>
      <c r="M81" s="6">
        <f t="shared" si="55"/>
        <v>97.2</v>
      </c>
      <c r="N81" s="6">
        <f t="shared" si="55"/>
        <v>104.4</v>
      </c>
      <c r="O81" s="6">
        <f t="shared" si="55"/>
        <v>120.60000000000001</v>
      </c>
      <c r="P81" s="6">
        <f t="shared" si="55"/>
        <v>86.4</v>
      </c>
      <c r="Q81" s="47"/>
      <c r="R81" s="47">
        <f t="shared" si="45"/>
        <v>1245.6000000000001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313.28552409122005</v>
      </c>
      <c r="F82" s="6">
        <f t="shared" si="56"/>
        <v>366.63133142834204</v>
      </c>
      <c r="G82" s="6">
        <f t="shared" si="56"/>
        <v>364.274528642908</v>
      </c>
      <c r="H82" s="6">
        <f t="shared" si="56"/>
        <v>336.082522908352</v>
      </c>
      <c r="I82" s="6">
        <f t="shared" si="56"/>
        <v>355.427321011084</v>
      </c>
      <c r="J82" s="6">
        <f t="shared" si="56"/>
        <v>338.72385770984505</v>
      </c>
      <c r="K82" s="6">
        <f t="shared" si="56"/>
        <v>292.87092390331793</v>
      </c>
      <c r="L82" s="6">
        <f t="shared" si="56"/>
        <v>259.88633576303505</v>
      </c>
      <c r="M82" s="6">
        <f t="shared" si="56"/>
        <v>293.870506367513</v>
      </c>
      <c r="N82" s="6">
        <f t="shared" si="56"/>
        <v>367.93796546423494</v>
      </c>
      <c r="O82" s="6">
        <f t="shared" si="56"/>
        <v>381.5608816740691</v>
      </c>
      <c r="P82" s="6">
        <f t="shared" si="56"/>
        <v>335.18985729662495</v>
      </c>
      <c r="Q82" s="47"/>
      <c r="R82" s="47">
        <f t="shared" si="45"/>
        <v>4005.7415562605465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492.96820184102006</v>
      </c>
      <c r="F83" s="6">
        <f t="shared" si="57"/>
        <v>576.9101164731221</v>
      </c>
      <c r="G83" s="6">
        <f t="shared" si="57"/>
        <v>573.201586260628</v>
      </c>
      <c r="H83" s="6">
        <f t="shared" si="57"/>
        <v>528.8402567240321</v>
      </c>
      <c r="I83" s="6">
        <f t="shared" si="57"/>
        <v>559.280125796644</v>
      </c>
      <c r="J83" s="6">
        <f t="shared" si="57"/>
        <v>532.9965102608951</v>
      </c>
      <c r="K83" s="6">
        <f t="shared" si="57"/>
        <v>460.84495332793796</v>
      </c>
      <c r="L83" s="6">
        <f t="shared" si="57"/>
        <v>408.94228993118514</v>
      </c>
      <c r="M83" s="6">
        <f t="shared" si="57"/>
        <v>462.41783918468303</v>
      </c>
      <c r="N83" s="6">
        <f t="shared" si="57"/>
        <v>578.9661611403849</v>
      </c>
      <c r="O83" s="6">
        <f t="shared" si="57"/>
        <v>600.4024037732792</v>
      </c>
      <c r="P83" s="6">
        <f t="shared" si="57"/>
        <v>527.435609117875</v>
      </c>
      <c r="R83" s="47">
        <f t="shared" si="45"/>
        <v>6303.2060538316855</v>
      </c>
      <c r="S83" s="20"/>
    </row>
    <row r="84" spans="1:18" ht="15.75" thickBot="1">
      <c r="A84" s="40"/>
      <c r="D84" s="9" t="s">
        <v>24</v>
      </c>
      <c r="E84" s="52">
        <f>SUM(E71:E83)</f>
        <v>8697.228207932241</v>
      </c>
      <c r="F84" s="52">
        <f aca="true" t="shared" si="58" ref="F84:P84">SUM(F71:F83)</f>
        <v>9970.949158101464</v>
      </c>
      <c r="G84" s="52">
        <f t="shared" si="58"/>
        <v>9890.705429703536</v>
      </c>
      <c r="H84" s="52">
        <f t="shared" si="58"/>
        <v>9170.908870832383</v>
      </c>
      <c r="I84" s="52">
        <f t="shared" si="58"/>
        <v>9750.760107207729</v>
      </c>
      <c r="J84" s="52">
        <f t="shared" si="58"/>
        <v>9281.383462470742</v>
      </c>
      <c r="K84" s="52">
        <f t="shared" si="58"/>
        <v>7976.600013031256</v>
      </c>
      <c r="L84" s="52">
        <f t="shared" si="58"/>
        <v>6984.678659194221</v>
      </c>
      <c r="M84" s="52">
        <f t="shared" si="58"/>
        <v>7995.065710852196</v>
      </c>
      <c r="N84" s="52">
        <f t="shared" si="58"/>
        <v>10129.622680104618</v>
      </c>
      <c r="O84" s="52">
        <f t="shared" si="58"/>
        <v>10431.881874347351</v>
      </c>
      <c r="P84" s="52">
        <f t="shared" si="58"/>
        <v>9275.8336789145</v>
      </c>
      <c r="Q84" s="53"/>
      <c r="R84" s="54">
        <f>SUM(E84:P84)</f>
        <v>109555.61785269223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49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98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27432</v>
      </c>
      <c r="F7" s="75">
        <v>38713</v>
      </c>
      <c r="G7" s="75">
        <v>32676</v>
      </c>
      <c r="H7" s="75">
        <v>27598</v>
      </c>
      <c r="I7" s="75">
        <v>18358</v>
      </c>
      <c r="J7" s="75">
        <v>115151</v>
      </c>
      <c r="K7" s="75">
        <v>64472</v>
      </c>
      <c r="L7" s="75">
        <v>61237</v>
      </c>
      <c r="M7" s="75">
        <v>56345</v>
      </c>
      <c r="N7" s="75">
        <v>44857</v>
      </c>
      <c r="O7" s="75">
        <v>40273</v>
      </c>
      <c r="P7" s="75">
        <v>33413</v>
      </c>
      <c r="R7" s="4">
        <f>SUM(E7:P7)</f>
        <v>560525</v>
      </c>
      <c r="S7" s="15">
        <f>R7/(8760*MAX(E10:P10))</f>
        <v>0.38132820110917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167.8</v>
      </c>
      <c r="C10" s="34"/>
      <c r="D10" s="10" t="s">
        <v>5</v>
      </c>
      <c r="E10" s="75">
        <v>77</v>
      </c>
      <c r="F10" s="75">
        <v>107.9</v>
      </c>
      <c r="G10" s="75">
        <v>99.9</v>
      </c>
      <c r="H10" s="75">
        <v>91.9</v>
      </c>
      <c r="I10" s="75">
        <v>134</v>
      </c>
      <c r="J10" s="75">
        <v>162.1</v>
      </c>
      <c r="K10" s="75">
        <v>167.8</v>
      </c>
      <c r="L10" s="75">
        <v>159.8</v>
      </c>
      <c r="M10" s="75">
        <v>137.6</v>
      </c>
      <c r="N10" s="75">
        <v>92.3</v>
      </c>
      <c r="O10" s="75">
        <v>93.5</v>
      </c>
      <c r="P10" s="75">
        <v>86.7</v>
      </c>
      <c r="R10" s="4">
        <f>SUM(E10:P10)</f>
        <v>1410.5</v>
      </c>
      <c r="W10" s="15" t="s">
        <v>46</v>
      </c>
      <c r="X10" s="20"/>
    </row>
    <row r="11" spans="2:24" ht="15">
      <c r="B11" s="34">
        <f>MAX(E11:P11)</f>
        <v>167.8</v>
      </c>
      <c r="C11" s="34"/>
      <c r="D11" s="10" t="s">
        <v>6</v>
      </c>
      <c r="E11" s="75">
        <v>77</v>
      </c>
      <c r="F11" s="75">
        <v>107.9</v>
      </c>
      <c r="G11" s="75">
        <v>99.9</v>
      </c>
      <c r="H11" s="75">
        <v>91.9</v>
      </c>
      <c r="I11" s="75">
        <v>134</v>
      </c>
      <c r="J11" s="75">
        <v>162.1</v>
      </c>
      <c r="K11" s="75">
        <v>167.8</v>
      </c>
      <c r="L11" s="75">
        <v>159.8</v>
      </c>
      <c r="M11" s="75">
        <v>137.6</v>
      </c>
      <c r="N11" s="75">
        <v>92.3</v>
      </c>
      <c r="O11" s="75">
        <v>93.5</v>
      </c>
      <c r="P11" s="75">
        <v>86.7</v>
      </c>
      <c r="R11" s="4">
        <f>SUM(E11:P11)</f>
        <v>1410.5</v>
      </c>
      <c r="W11" s="15" t="s">
        <v>47</v>
      </c>
      <c r="X11" s="20"/>
    </row>
    <row r="12" spans="2:24" ht="15">
      <c r="B12" s="34">
        <f>MAX(E12:P12)</f>
        <v>167.8</v>
      </c>
      <c r="C12" s="34"/>
      <c r="D12" s="10" t="s">
        <v>7</v>
      </c>
      <c r="E12" s="75">
        <v>77</v>
      </c>
      <c r="F12" s="75">
        <v>107.9</v>
      </c>
      <c r="G12" s="75">
        <v>99.9</v>
      </c>
      <c r="H12" s="75">
        <v>91.9</v>
      </c>
      <c r="I12" s="75">
        <v>134</v>
      </c>
      <c r="J12" s="75">
        <v>162.1</v>
      </c>
      <c r="K12" s="75">
        <v>167.8</v>
      </c>
      <c r="L12" s="75">
        <v>159.8</v>
      </c>
      <c r="M12" s="75">
        <v>137.6</v>
      </c>
      <c r="N12" s="75">
        <v>92.3</v>
      </c>
      <c r="O12" s="75">
        <v>93.5</v>
      </c>
      <c r="P12" s="75">
        <v>86.7</v>
      </c>
      <c r="R12" s="4">
        <f>SUM(E12:P12)</f>
        <v>1410.5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2138.3244</v>
      </c>
      <c r="F56" s="6">
        <f t="shared" si="32"/>
        <v>3017.67835</v>
      </c>
      <c r="G56" s="6">
        <f t="shared" si="32"/>
        <v>2547.0942</v>
      </c>
      <c r="H56" s="6">
        <f t="shared" si="32"/>
        <v>2151.2641000000003</v>
      </c>
      <c r="I56" s="6">
        <f t="shared" si="32"/>
        <v>1431.0061</v>
      </c>
      <c r="J56" s="6">
        <f t="shared" si="32"/>
        <v>8976.02045</v>
      </c>
      <c r="K56" s="6">
        <f t="shared" si="32"/>
        <v>5025.5924</v>
      </c>
      <c r="L56" s="6">
        <f t="shared" si="32"/>
        <v>4773.424150000001</v>
      </c>
      <c r="M56" s="6">
        <f t="shared" si="32"/>
        <v>4392.092750000001</v>
      </c>
      <c r="N56" s="6">
        <f t="shared" si="32"/>
        <v>3496.6031500000004</v>
      </c>
      <c r="O56" s="6">
        <f t="shared" si="32"/>
        <v>3139.28035</v>
      </c>
      <c r="P56" s="6">
        <f t="shared" si="32"/>
        <v>2604.5433500000004</v>
      </c>
      <c r="Q56" s="47"/>
      <c r="R56" s="47">
        <f t="shared" si="31"/>
        <v>43692.92375000001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309.53999999999996</v>
      </c>
      <c r="F57" s="6">
        <f t="shared" si="33"/>
        <v>433.758</v>
      </c>
      <c r="G57" s="6">
        <f t="shared" si="33"/>
        <v>401.59799999999996</v>
      </c>
      <c r="H57" s="6">
        <f t="shared" si="33"/>
        <v>369.438</v>
      </c>
      <c r="I57" s="6">
        <f t="shared" si="33"/>
        <v>538.68</v>
      </c>
      <c r="J57" s="6">
        <f t="shared" si="33"/>
        <v>651.6419999999999</v>
      </c>
      <c r="K57" s="6">
        <f t="shared" si="33"/>
        <v>674.5559999999999</v>
      </c>
      <c r="L57" s="6">
        <f t="shared" si="33"/>
        <v>642.396</v>
      </c>
      <c r="M57" s="6">
        <f t="shared" si="33"/>
        <v>553.1519999999999</v>
      </c>
      <c r="N57" s="6">
        <f t="shared" si="33"/>
        <v>371.04599999999994</v>
      </c>
      <c r="O57" s="6">
        <f t="shared" si="33"/>
        <v>375.86999999999995</v>
      </c>
      <c r="P57" s="6">
        <f t="shared" si="33"/>
        <v>348.534</v>
      </c>
      <c r="Q57" s="47"/>
      <c r="R57" s="47">
        <f t="shared" si="31"/>
        <v>5670.209999999999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27.047952</v>
      </c>
      <c r="F59" s="6">
        <f t="shared" si="35"/>
        <v>38.171018</v>
      </c>
      <c r="G59" s="6">
        <f t="shared" si="35"/>
        <v>32.21853599999999</v>
      </c>
      <c r="H59" s="6">
        <f t="shared" si="35"/>
        <v>27.211627999999997</v>
      </c>
      <c r="I59" s="6">
        <f t="shared" si="35"/>
        <v>18.100987999999997</v>
      </c>
      <c r="J59" s="6">
        <f t="shared" si="35"/>
        <v>113.53888599999999</v>
      </c>
      <c r="K59" s="6">
        <f t="shared" si="35"/>
        <v>63.56939199999999</v>
      </c>
      <c r="L59" s="6">
        <f t="shared" si="35"/>
        <v>60.379681999999995</v>
      </c>
      <c r="M59" s="6">
        <f t="shared" si="35"/>
        <v>55.556169999999995</v>
      </c>
      <c r="N59" s="6">
        <f t="shared" si="35"/>
        <v>44.229001999999994</v>
      </c>
      <c r="O59" s="6">
        <f t="shared" si="35"/>
        <v>39.709177999999994</v>
      </c>
      <c r="P59" s="6">
        <f t="shared" si="35"/>
        <v>32.945218</v>
      </c>
      <c r="Q59" s="47"/>
      <c r="R59" s="47">
        <f t="shared" si="31"/>
        <v>552.6776499999999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55.991455200000004</v>
      </c>
      <c r="F60" s="6">
        <f t="shared" si="36"/>
        <v>79.0171043</v>
      </c>
      <c r="G60" s="6">
        <f t="shared" si="36"/>
        <v>66.6949836</v>
      </c>
      <c r="H60" s="6">
        <f t="shared" si="36"/>
        <v>56.330277800000005</v>
      </c>
      <c r="I60" s="6">
        <f t="shared" si="36"/>
        <v>37.4705138</v>
      </c>
      <c r="J60" s="6">
        <f t="shared" si="36"/>
        <v>235.03470610000002</v>
      </c>
      <c r="K60" s="6">
        <f t="shared" si="36"/>
        <v>131.5937992</v>
      </c>
      <c r="L60" s="6">
        <f t="shared" si="36"/>
        <v>124.9908407</v>
      </c>
      <c r="M60" s="6">
        <f t="shared" si="36"/>
        <v>115.0057795</v>
      </c>
      <c r="N60" s="6">
        <f t="shared" si="36"/>
        <v>91.55762270000001</v>
      </c>
      <c r="O60" s="6">
        <f t="shared" si="36"/>
        <v>82.2012203</v>
      </c>
      <c r="P60" s="6">
        <f t="shared" si="36"/>
        <v>68.1992743</v>
      </c>
      <c r="Q60" s="47"/>
      <c r="R60" s="47">
        <f t="shared" si="31"/>
        <v>1144.0875775000002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26.60904</v>
      </c>
      <c r="F61" s="6">
        <f aca="true" t="shared" si="37" ref="F61:P61">$D61*F$7</f>
        <v>37.551610000000004</v>
      </c>
      <c r="G61" s="6">
        <f t="shared" si="37"/>
        <v>31.69572</v>
      </c>
      <c r="H61" s="6">
        <f t="shared" si="37"/>
        <v>26.77006</v>
      </c>
      <c r="I61" s="6">
        <f t="shared" si="37"/>
        <v>17.80726</v>
      </c>
      <c r="J61" s="6">
        <f t="shared" si="37"/>
        <v>111.69647</v>
      </c>
      <c r="K61" s="6">
        <f t="shared" si="37"/>
        <v>62.53784</v>
      </c>
      <c r="L61" s="6">
        <f t="shared" si="37"/>
        <v>59.399890000000006</v>
      </c>
      <c r="M61" s="6">
        <f t="shared" si="37"/>
        <v>54.654650000000004</v>
      </c>
      <c r="N61" s="6">
        <f t="shared" si="37"/>
        <v>43.51129</v>
      </c>
      <c r="O61" s="6">
        <f t="shared" si="37"/>
        <v>39.06481</v>
      </c>
      <c r="P61" s="6">
        <f t="shared" si="37"/>
        <v>32.41061</v>
      </c>
      <c r="Q61" s="47"/>
      <c r="R61" s="47">
        <f t="shared" si="31"/>
        <v>543.70925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268.31633728239996</v>
      </c>
      <c r="F62" s="6">
        <f aca="true" t="shared" si="38" ref="F62:P62">(SUM(F55:F61)-($D60+$C60)*F$7)*$D62</f>
        <v>373.0117665441</v>
      </c>
      <c r="G62" s="6">
        <f t="shared" si="38"/>
        <v>322.0783159132</v>
      </c>
      <c r="H62" s="6">
        <f t="shared" si="38"/>
        <v>278.47744228860006</v>
      </c>
      <c r="I62" s="6">
        <f t="shared" si="38"/>
        <v>232.9517701206</v>
      </c>
      <c r="J62" s="6">
        <f t="shared" si="38"/>
        <v>989.8066163207</v>
      </c>
      <c r="K62" s="6">
        <f t="shared" si="38"/>
        <v>605.7132360104</v>
      </c>
      <c r="L62" s="6">
        <f t="shared" si="38"/>
        <v>576.2040614709</v>
      </c>
      <c r="M62" s="6">
        <f t="shared" si="38"/>
        <v>525.5512362665002</v>
      </c>
      <c r="N62" s="6">
        <f t="shared" si="38"/>
        <v>410.6795978049001</v>
      </c>
      <c r="O62" s="6">
        <f t="shared" si="38"/>
        <v>376.34615543609993</v>
      </c>
      <c r="P62" s="6">
        <f t="shared" si="38"/>
        <v>319.83611553410003</v>
      </c>
      <c r="Q62" s="47"/>
      <c r="R62" s="47">
        <f t="shared" si="31"/>
        <v>5278.9726509925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2910.8291844824</v>
      </c>
      <c r="F67" s="52">
        <f aca="true" t="shared" si="43" ref="F67:P67">SUM(F55:F66)</f>
        <v>4064.1878488441</v>
      </c>
      <c r="G67" s="52">
        <f t="shared" si="43"/>
        <v>3486.3797555132</v>
      </c>
      <c r="H67" s="52">
        <f t="shared" si="43"/>
        <v>2994.4915080886003</v>
      </c>
      <c r="I67" s="52">
        <f t="shared" si="43"/>
        <v>2361.0166319206</v>
      </c>
      <c r="J67" s="52">
        <f t="shared" si="43"/>
        <v>11162.7391284207</v>
      </c>
      <c r="K67" s="52">
        <f t="shared" si="43"/>
        <v>6648.5626672104</v>
      </c>
      <c r="L67" s="52">
        <f t="shared" si="43"/>
        <v>6321.7946241709005</v>
      </c>
      <c r="M67" s="52">
        <f t="shared" si="43"/>
        <v>5781.012585766502</v>
      </c>
      <c r="N67" s="52">
        <f t="shared" si="43"/>
        <v>4542.626662504901</v>
      </c>
      <c r="O67" s="52">
        <f t="shared" si="43"/>
        <v>4137.471713736099</v>
      </c>
      <c r="P67" s="52">
        <f t="shared" si="43"/>
        <v>3491.4685678341</v>
      </c>
      <c r="Q67" s="53"/>
      <c r="R67" s="54">
        <f>SUM(E67:P67)</f>
        <v>57902.5808784925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1924.4919600000003</v>
      </c>
      <c r="F72" s="6">
        <f t="shared" si="46"/>
        <v>2715.9105150000005</v>
      </c>
      <c r="G72" s="6">
        <f t="shared" si="46"/>
        <v>2292.3847800000003</v>
      </c>
      <c r="H72" s="6">
        <f t="shared" si="46"/>
        <v>1936.1376900000002</v>
      </c>
      <c r="I72" s="6">
        <f t="shared" si="46"/>
        <v>1287.90549</v>
      </c>
      <c r="J72" s="6">
        <f t="shared" si="46"/>
        <v>8078.418405000001</v>
      </c>
      <c r="K72" s="6">
        <f t="shared" si="46"/>
        <v>4523.033160000001</v>
      </c>
      <c r="L72" s="6">
        <f t="shared" si="46"/>
        <v>4296.081735000001</v>
      </c>
      <c r="M72" s="6">
        <f t="shared" si="46"/>
        <v>3952.8834750000005</v>
      </c>
      <c r="N72" s="6">
        <f t="shared" si="46"/>
        <v>3146.9428350000003</v>
      </c>
      <c r="O72" s="6">
        <f t="shared" si="46"/>
        <v>2825.3523150000005</v>
      </c>
      <c r="P72" s="6">
        <f t="shared" si="46"/>
        <v>2344.0890150000005</v>
      </c>
      <c r="Q72" s="47"/>
      <c r="R72" s="47">
        <f t="shared" si="45"/>
        <v>39323.631375000004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278.586</v>
      </c>
      <c r="F73" s="6">
        <f t="shared" si="47"/>
        <v>390.3822</v>
      </c>
      <c r="G73" s="6">
        <f t="shared" si="47"/>
        <v>361.4382</v>
      </c>
      <c r="H73" s="6">
        <f t="shared" si="47"/>
        <v>332.49420000000003</v>
      </c>
      <c r="I73" s="6">
        <f t="shared" si="47"/>
        <v>484.812</v>
      </c>
      <c r="J73" s="6">
        <f t="shared" si="47"/>
        <v>586.4778</v>
      </c>
      <c r="K73" s="6">
        <f t="shared" si="47"/>
        <v>607.1004</v>
      </c>
      <c r="L73" s="6">
        <f t="shared" si="47"/>
        <v>578.1564000000001</v>
      </c>
      <c r="M73" s="6">
        <f t="shared" si="47"/>
        <v>497.8368</v>
      </c>
      <c r="N73" s="6">
        <f t="shared" si="47"/>
        <v>333.9414</v>
      </c>
      <c r="O73" s="6">
        <f t="shared" si="47"/>
        <v>338.283</v>
      </c>
      <c r="P73" s="6">
        <f t="shared" si="47"/>
        <v>313.6806</v>
      </c>
      <c r="Q73" s="47"/>
      <c r="R73" s="47">
        <f t="shared" si="45"/>
        <v>5103.189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55.991455200000004</v>
      </c>
      <c r="F75" s="6">
        <f t="shared" si="49"/>
        <v>79.0171043</v>
      </c>
      <c r="G75" s="6">
        <f t="shared" si="49"/>
        <v>66.6949836</v>
      </c>
      <c r="H75" s="6">
        <f t="shared" si="49"/>
        <v>56.330277800000005</v>
      </c>
      <c r="I75" s="6">
        <f t="shared" si="49"/>
        <v>37.4705138</v>
      </c>
      <c r="J75" s="6">
        <f t="shared" si="49"/>
        <v>235.03470610000002</v>
      </c>
      <c r="K75" s="6">
        <f t="shared" si="49"/>
        <v>131.5937992</v>
      </c>
      <c r="L75" s="6">
        <f t="shared" si="49"/>
        <v>124.9908407</v>
      </c>
      <c r="M75" s="6">
        <f t="shared" si="49"/>
        <v>115.0057795</v>
      </c>
      <c r="N75" s="6">
        <f t="shared" si="49"/>
        <v>91.55762270000001</v>
      </c>
      <c r="O75" s="6">
        <f t="shared" si="49"/>
        <v>82.2012203</v>
      </c>
      <c r="P75" s="6">
        <f t="shared" si="49"/>
        <v>68.1992743</v>
      </c>
      <c r="Q75" s="47"/>
      <c r="R75" s="47">
        <f t="shared" si="45"/>
        <v>1144.0875775000002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27.047952</v>
      </c>
      <c r="F76" s="6">
        <f t="shared" si="50"/>
        <v>38.171018</v>
      </c>
      <c r="G76" s="6">
        <f t="shared" si="50"/>
        <v>32.21853599999999</v>
      </c>
      <c r="H76" s="6">
        <f t="shared" si="50"/>
        <v>27.211627999999997</v>
      </c>
      <c r="I76" s="6">
        <f t="shared" si="50"/>
        <v>18.100987999999997</v>
      </c>
      <c r="J76" s="6">
        <f t="shared" si="50"/>
        <v>113.53888599999999</v>
      </c>
      <c r="K76" s="6">
        <f t="shared" si="50"/>
        <v>63.56939199999999</v>
      </c>
      <c r="L76" s="6">
        <f t="shared" si="50"/>
        <v>60.379681999999995</v>
      </c>
      <c r="M76" s="6">
        <f t="shared" si="50"/>
        <v>55.556169999999995</v>
      </c>
      <c r="N76" s="6">
        <f t="shared" si="50"/>
        <v>44.229001999999994</v>
      </c>
      <c r="O76" s="6">
        <f t="shared" si="50"/>
        <v>39.709177999999994</v>
      </c>
      <c r="P76" s="6">
        <f t="shared" si="50"/>
        <v>32.945218</v>
      </c>
      <c r="Q76" s="47"/>
      <c r="R76" s="47">
        <f t="shared" si="45"/>
        <v>552.6776499999999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32.424624</v>
      </c>
      <c r="F77" s="6">
        <f aca="true" t="shared" si="51" ref="F77:P77">$D77*F$7</f>
        <v>45.758766</v>
      </c>
      <c r="G77" s="6">
        <f t="shared" si="51"/>
        <v>38.623032</v>
      </c>
      <c r="H77" s="6">
        <f t="shared" si="51"/>
        <v>32.620836000000004</v>
      </c>
      <c r="I77" s="6">
        <f t="shared" si="51"/>
        <v>21.699156000000002</v>
      </c>
      <c r="J77" s="6">
        <f t="shared" si="51"/>
        <v>136.108482</v>
      </c>
      <c r="K77" s="6">
        <f t="shared" si="51"/>
        <v>76.205904</v>
      </c>
      <c r="L77" s="6">
        <f t="shared" si="51"/>
        <v>72.38213400000001</v>
      </c>
      <c r="M77" s="6">
        <f t="shared" si="51"/>
        <v>66.59979000000001</v>
      </c>
      <c r="N77" s="6">
        <f t="shared" si="51"/>
        <v>53.020974</v>
      </c>
      <c r="O77" s="6">
        <f t="shared" si="51"/>
        <v>47.602686000000006</v>
      </c>
      <c r="P77" s="6">
        <f t="shared" si="51"/>
        <v>39.49416600000001</v>
      </c>
      <c r="Q77" s="47"/>
      <c r="R77" s="47">
        <f t="shared" si="45"/>
        <v>662.5405500000002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38.13048</v>
      </c>
      <c r="F80" s="6">
        <f t="shared" si="54"/>
        <v>53.81107</v>
      </c>
      <c r="G80" s="6">
        <f t="shared" si="54"/>
        <v>45.41964</v>
      </c>
      <c r="H80" s="6">
        <f t="shared" si="54"/>
        <v>38.361219999999996</v>
      </c>
      <c r="I80" s="6">
        <f t="shared" si="54"/>
        <v>25.51762</v>
      </c>
      <c r="J80" s="6">
        <f t="shared" si="54"/>
        <v>160.05989</v>
      </c>
      <c r="K80" s="6">
        <f t="shared" si="54"/>
        <v>89.61608</v>
      </c>
      <c r="L80" s="6">
        <f t="shared" si="54"/>
        <v>85.11943</v>
      </c>
      <c r="M80" s="6">
        <f t="shared" si="54"/>
        <v>78.31954999999999</v>
      </c>
      <c r="N80" s="6">
        <f t="shared" si="54"/>
        <v>62.35123</v>
      </c>
      <c r="O80" s="6">
        <f t="shared" si="54"/>
        <v>55.97947</v>
      </c>
      <c r="P80" s="6">
        <f t="shared" si="54"/>
        <v>46.444069999999996</v>
      </c>
      <c r="Q80" s="47"/>
      <c r="R80" s="47">
        <f t="shared" si="45"/>
        <v>779.1297500000001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34.65</v>
      </c>
      <c r="F81" s="6">
        <f t="shared" si="55"/>
        <v>48.55500000000001</v>
      </c>
      <c r="G81" s="6">
        <f t="shared" si="55"/>
        <v>44.955000000000005</v>
      </c>
      <c r="H81" s="6">
        <f t="shared" si="55"/>
        <v>41.355000000000004</v>
      </c>
      <c r="I81" s="6">
        <f t="shared" si="55"/>
        <v>60.300000000000004</v>
      </c>
      <c r="J81" s="6">
        <f t="shared" si="55"/>
        <v>72.945</v>
      </c>
      <c r="K81" s="6">
        <f t="shared" si="55"/>
        <v>75.51</v>
      </c>
      <c r="L81" s="6">
        <f t="shared" si="55"/>
        <v>71.91000000000001</v>
      </c>
      <c r="M81" s="6">
        <f t="shared" si="55"/>
        <v>61.92</v>
      </c>
      <c r="N81" s="6">
        <f t="shared" si="55"/>
        <v>41.535</v>
      </c>
      <c r="O81" s="6">
        <f t="shared" si="55"/>
        <v>42.075</v>
      </c>
      <c r="P81" s="6">
        <f t="shared" si="55"/>
        <v>39.015</v>
      </c>
      <c r="Q81" s="47"/>
      <c r="R81" s="47">
        <f t="shared" si="45"/>
        <v>634.725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102.25505682015203</v>
      </c>
      <c r="F82" s="6">
        <f t="shared" si="56"/>
        <v>141.93059282059303</v>
      </c>
      <c r="G82" s="6">
        <f t="shared" si="56"/>
        <v>122.861569520036</v>
      </c>
      <c r="H82" s="6">
        <f t="shared" si="56"/>
        <v>106.499672758078</v>
      </c>
      <c r="I82" s="6">
        <f t="shared" si="56"/>
        <v>91.08556841003798</v>
      </c>
      <c r="J82" s="6">
        <f t="shared" si="56"/>
        <v>371.44025969471096</v>
      </c>
      <c r="K82" s="6">
        <f t="shared" si="56"/>
        <v>229.82485493239207</v>
      </c>
      <c r="L82" s="6">
        <f t="shared" si="56"/>
        <v>218.665496450557</v>
      </c>
      <c r="M82" s="6">
        <f t="shared" si="56"/>
        <v>199.23002880214503</v>
      </c>
      <c r="N82" s="6">
        <f t="shared" si="56"/>
        <v>155.32085153937703</v>
      </c>
      <c r="O82" s="6">
        <f t="shared" si="56"/>
        <v>142.68495217735304</v>
      </c>
      <c r="P82" s="6">
        <f t="shared" si="56"/>
        <v>121.59682087209302</v>
      </c>
      <c r="Q82" s="47"/>
      <c r="R82" s="47">
        <f t="shared" si="45"/>
        <v>2003.3957247975254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160.90271529783206</v>
      </c>
      <c r="F83" s="6">
        <f t="shared" si="57"/>
        <v>223.33387197496305</v>
      </c>
      <c r="G83" s="6">
        <f t="shared" si="57"/>
        <v>193.327946375276</v>
      </c>
      <c r="H83" s="6">
        <f t="shared" si="57"/>
        <v>167.58180043109803</v>
      </c>
      <c r="I83" s="6">
        <f t="shared" si="57"/>
        <v>143.32704647945798</v>
      </c>
      <c r="J83" s="6">
        <f t="shared" si="57"/>
        <v>584.4771712457009</v>
      </c>
      <c r="K83" s="6">
        <f t="shared" si="57"/>
        <v>361.6392611916721</v>
      </c>
      <c r="L83" s="6">
        <f t="shared" si="57"/>
        <v>344.079532249687</v>
      </c>
      <c r="M83" s="6">
        <f t="shared" si="57"/>
        <v>313.49699076019505</v>
      </c>
      <c r="N83" s="6">
        <f t="shared" si="57"/>
        <v>244.40401807230708</v>
      </c>
      <c r="O83" s="6">
        <f t="shared" si="57"/>
        <v>224.52088876012309</v>
      </c>
      <c r="P83" s="6">
        <f t="shared" si="57"/>
        <v>191.33781016146304</v>
      </c>
      <c r="R83" s="47">
        <f t="shared" si="45"/>
        <v>3152.429052999775</v>
      </c>
      <c r="S83" s="20"/>
    </row>
    <row r="84" spans="1:18" ht="15.75" thickBot="1">
      <c r="A84" s="40"/>
      <c r="D84" s="9" t="s">
        <v>24</v>
      </c>
      <c r="E84" s="52">
        <f>SUM(E71:E83)</f>
        <v>2739.6302433179844</v>
      </c>
      <c r="F84" s="52">
        <f aca="true" t="shared" si="58" ref="F84:P84">SUM(F71:F83)</f>
        <v>3822.020138095557</v>
      </c>
      <c r="G84" s="52">
        <f t="shared" si="58"/>
        <v>3283.0736874953122</v>
      </c>
      <c r="H84" s="52">
        <f t="shared" si="58"/>
        <v>2823.7423249891763</v>
      </c>
      <c r="I84" s="52">
        <f t="shared" si="58"/>
        <v>2255.368382689496</v>
      </c>
      <c r="J84" s="52">
        <f t="shared" si="58"/>
        <v>10423.650600040412</v>
      </c>
      <c r="K84" s="52">
        <f t="shared" si="58"/>
        <v>6243.242851324065</v>
      </c>
      <c r="L84" s="52">
        <f t="shared" si="58"/>
        <v>5936.915250400244</v>
      </c>
      <c r="M84" s="52">
        <f t="shared" si="58"/>
        <v>5425.998584062341</v>
      </c>
      <c r="N84" s="52">
        <f t="shared" si="58"/>
        <v>4258.452933311685</v>
      </c>
      <c r="O84" s="52">
        <f t="shared" si="58"/>
        <v>3883.5587102374766</v>
      </c>
      <c r="P84" s="52">
        <f t="shared" si="58"/>
        <v>3281.9519743335563</v>
      </c>
      <c r="Q84" s="53"/>
      <c r="R84" s="54">
        <f>SUM(E84:P84)</f>
        <v>54377.6056802973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19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99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111600</v>
      </c>
      <c r="F7" s="75">
        <v>118800</v>
      </c>
      <c r="G7" s="75">
        <v>94200</v>
      </c>
      <c r="H7" s="75">
        <v>78300</v>
      </c>
      <c r="I7" s="75">
        <v>101700</v>
      </c>
      <c r="J7" s="75">
        <v>100200</v>
      </c>
      <c r="K7" s="75">
        <v>87000</v>
      </c>
      <c r="L7" s="76">
        <v>78300</v>
      </c>
      <c r="M7" s="76">
        <v>75000</v>
      </c>
      <c r="N7" s="76">
        <v>98400</v>
      </c>
      <c r="O7" s="76">
        <v>104100</v>
      </c>
      <c r="P7" s="76">
        <v>96900</v>
      </c>
      <c r="R7" s="4">
        <f>SUM(E7:P7)</f>
        <v>1144500</v>
      </c>
      <c r="S7" s="15">
        <f>R7/(8760*MAX(E10:P10))</f>
        <v>0.3324444909198648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393</v>
      </c>
      <c r="C10" s="34"/>
      <c r="D10" s="10" t="s">
        <v>5</v>
      </c>
      <c r="E10" s="76">
        <v>369</v>
      </c>
      <c r="F10" s="76">
        <v>393</v>
      </c>
      <c r="G10" s="76">
        <v>342</v>
      </c>
      <c r="H10" s="76">
        <v>306</v>
      </c>
      <c r="I10" s="76">
        <v>282</v>
      </c>
      <c r="J10" s="76">
        <v>351</v>
      </c>
      <c r="K10" s="76">
        <v>324</v>
      </c>
      <c r="L10" s="76">
        <v>300</v>
      </c>
      <c r="M10" s="76">
        <v>300</v>
      </c>
      <c r="N10" s="76">
        <v>348</v>
      </c>
      <c r="O10" s="76">
        <v>285</v>
      </c>
      <c r="P10" s="76">
        <v>234</v>
      </c>
      <c r="R10" s="4">
        <f>SUM(E10:P10)</f>
        <v>3834</v>
      </c>
      <c r="W10" s="15" t="s">
        <v>46</v>
      </c>
      <c r="X10" s="20"/>
    </row>
    <row r="11" spans="2:24" ht="15">
      <c r="B11" s="34">
        <f>MAX(E11:P11)</f>
        <v>393</v>
      </c>
      <c r="C11" s="34"/>
      <c r="D11" s="10" t="s">
        <v>6</v>
      </c>
      <c r="E11" s="76">
        <v>369</v>
      </c>
      <c r="F11" s="76">
        <v>393</v>
      </c>
      <c r="G11" s="76">
        <v>342</v>
      </c>
      <c r="H11" s="76">
        <v>306</v>
      </c>
      <c r="I11" s="76">
        <v>282</v>
      </c>
      <c r="J11" s="76">
        <v>351</v>
      </c>
      <c r="K11" s="76">
        <v>324</v>
      </c>
      <c r="L11" s="76">
        <v>300</v>
      </c>
      <c r="M11" s="76">
        <v>300</v>
      </c>
      <c r="N11" s="76">
        <v>348</v>
      </c>
      <c r="O11" s="76">
        <v>285</v>
      </c>
      <c r="P11" s="76">
        <v>234</v>
      </c>
      <c r="R11" s="4">
        <f>SUM(E11:P11)</f>
        <v>3834</v>
      </c>
      <c r="W11" s="15" t="s">
        <v>47</v>
      </c>
      <c r="X11" s="20"/>
    </row>
    <row r="12" spans="2:24" ht="15">
      <c r="B12" s="34">
        <f>MAX(E12:P12)</f>
        <v>393</v>
      </c>
      <c r="C12" s="34"/>
      <c r="D12" s="10" t="s">
        <v>7</v>
      </c>
      <c r="E12" s="76">
        <v>369</v>
      </c>
      <c r="F12" s="76">
        <v>393</v>
      </c>
      <c r="G12" s="76">
        <v>342</v>
      </c>
      <c r="H12" s="76">
        <v>306</v>
      </c>
      <c r="I12" s="76">
        <v>282</v>
      </c>
      <c r="J12" s="76">
        <v>351</v>
      </c>
      <c r="K12" s="76">
        <v>324</v>
      </c>
      <c r="L12" s="76">
        <v>300</v>
      </c>
      <c r="M12" s="76">
        <v>300</v>
      </c>
      <c r="N12" s="76">
        <v>348</v>
      </c>
      <c r="O12" s="76">
        <v>285</v>
      </c>
      <c r="P12" s="76">
        <v>234</v>
      </c>
      <c r="R12" s="4">
        <f>SUM(E12:P12)</f>
        <v>3834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School Current</v>
      </c>
      <c r="D15" s="45" t="s">
        <v>44</v>
      </c>
      <c r="E15" s="25">
        <f>IF($D$15="Rate 1",E32,IF($D$15="Rate 2",E46,IF($D$15="Rate 3",#REF!,IF($D$15="Rate 4",#REF!,IF($D$15="Rate 5",E67,IF($D$15="Rate 6",E84,IF($D$15="Rate 7",#REF!,IF($D$15="Rate 8",#REF!))))))))</f>
        <v>11799.803303120001</v>
      </c>
      <c r="F15" s="25">
        <f>IF($D$15="Rate 1",F32,IF($D$15="Rate 2",F46,IF($D$15="Rate 3",#REF!,IF($D$15="Rate 4",#REF!,IF($D$15="Rate 5",F67,IF($D$15="Rate 6",F84,IF($D$15="Rate 7",#REF!,IF($D$15="Rate 8",#REF!))))))))</f>
        <v>12555.676552160003</v>
      </c>
      <c r="G15" s="25">
        <f>IF($D$15="Rate 1",G32,IF($D$15="Rate 2",G46,IF($D$15="Rate 3",#REF!,IF($D$15="Rate 4",#REF!,IF($D$15="Rate 5",G67,IF($D$15="Rate 6",G84,IF($D$15="Rate 7",#REF!,IF($D$15="Rate 8",#REF!))))))))</f>
        <v>10116.229456939998</v>
      </c>
      <c r="H15" s="25">
        <f>IF($D$15="Rate 1",H32,IF($D$15="Rate 2",H46,IF($D$15="Rate 3",#REF!,IF($D$15="Rate 4",#REF!,IF($D$15="Rate 5",H67,IF($D$15="Rate 6",H84,IF($D$15="Rate 7",#REF!,IF($D$15="Rate 8",#REF!))))))))</f>
        <v>8525.494438310001</v>
      </c>
      <c r="I15" s="25">
        <f>IF($D$15="Rate 1",I32,IF($D$15="Rate 2",I46,IF($D$15="Rate 3",#REF!,IF($D$15="Rate 4",#REF!,IF($D$15="Rate 5",I67,IF($D$15="Rate 6",I84,IF($D$15="Rate 7",#REF!,IF($D$15="Rate 8",#REF!))))))))</f>
        <v>10511.17205969</v>
      </c>
      <c r="J15" s="25">
        <f>IF($D$15="Rate 1",J32,IF($D$15="Rate 2",J46,IF($D$15="Rate 3",#REF!,IF($D$15="Rate 4",#REF!,IF($D$15="Rate 5",J67,IF($D$15="Rate 6",J84,IF($D$15="Rate 7",#REF!,IF($D$15="Rate 8",#REF!))))))))</f>
        <v>10695.33937214</v>
      </c>
      <c r="K15" s="25">
        <f>IF($D$15="Rate 1",K32,IF($D$15="Rate 2",K46,IF($D$15="Rate 3",#REF!,IF($D$15="Rate 4",#REF!,IF($D$15="Rate 5",K67,IF($D$15="Rate 6",K84,IF($D$15="Rate 7",#REF!,IF($D$15="Rate 8",#REF!))))))))</f>
        <v>9388.0568219</v>
      </c>
      <c r="L15" s="25">
        <f>IF($D$15="Rate 1",L32,IF($D$15="Rate 2",L46,IF($D$15="Rate 3",#REF!,IF($D$15="Rate 4",#REF!,IF($D$15="Rate 5",L67,IF($D$15="Rate 6",L84,IF($D$15="Rate 7",#REF!,IF($D$15="Rate 8",#REF!))))))))</f>
        <v>8497.79382431</v>
      </c>
      <c r="M15" s="25">
        <f>IF($D$15="Rate 1",M32,IF($D$15="Rate 2",M46,IF($D$15="Rate 3",#REF!,IF($D$15="Rate 4",#REF!,IF($D$15="Rate 5",M67,IF($D$15="Rate 6",M84,IF($D$15="Rate 7",#REF!,IF($D$15="Rate 8",#REF!))))))))</f>
        <v>8202.1363775</v>
      </c>
      <c r="N15" s="25">
        <f>IF($D$15="Rate 1",N32,IF($D$15="Rate 2",N46,IF($D$15="Rate 3",#REF!,IF($D$15="Rate 4",#REF!,IF($D$15="Rate 5",N67,IF($D$15="Rate 6",N84,IF($D$15="Rate 7",#REF!,IF($D$15="Rate 8",#REF!))))))))</f>
        <v>10520.22136688</v>
      </c>
      <c r="O15" s="25">
        <f>IF($D$15="Rate 1",O32,IF($D$15="Rate 2",O46,IF($D$15="Rate 3",#REF!,IF($D$15="Rate 4",#REF!,IF($D$15="Rate 5",O67,IF($D$15="Rate 6",O84,IF($D$15="Rate 7",#REF!,IF($D$15="Rate 8",#REF!))))))))</f>
        <v>10740.045964370003</v>
      </c>
      <c r="P15" s="25">
        <f>IF($D$15="Rate 1",P32,IF($D$15="Rate 2",P46,IF($D$15="Rate 3",#REF!,IF($D$15="Rate 4",#REF!,IF($D$15="Rate 5",P67,IF($D$15="Rate 6",P84,IF($D$15="Rate 7",#REF!,IF($D$15="Rate 8",#REF!))))))))</f>
        <v>9859.519952330002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121411.48948964999</v>
      </c>
      <c r="X15" s="20"/>
    </row>
    <row r="16" spans="1:24" ht="15" customHeight="1" thickBot="1">
      <c r="A16" s="85"/>
      <c r="B16" s="24" t="s">
        <v>28</v>
      </c>
      <c r="C16" s="44" t="str">
        <f>IF($D$16="Rate 1",B21,IF($D$16="Rate 2",B34,IF($D$16="Rate 3",B49,IF($D$16="Rate 4",#REF!,IF($D$16="Rate 5",B54,IF($D$16="Rate 6",B70,IF($D$16="Rate 7",#REF!,IF($D$16="Rate 8",#REF!))))))))</f>
        <v>L.G.S. School Proposed</v>
      </c>
      <c r="D16" s="45" t="s">
        <v>45</v>
      </c>
      <c r="E16" s="26">
        <f>IF($D$16="Rate 1",E32,IF($D$16="Rate 2",E46,IF($D$16="Rate 3",#REF!,IF($D$16="Rate 4",#REF!,IF($D$16="Rate 5",E67,IF($D$16="Rate 6",E84,IF($D$16="Rate 7",#REF!,IF($D$16="Rate 8",#REF!))))))))</f>
        <v>11105.4595959872</v>
      </c>
      <c r="F16" s="26">
        <f>IF($D$16="Rate 1",F32,IF($D$16="Rate 2",F46,IF($D$16="Rate 3",#REF!,IF($D$16="Rate 4",#REF!,IF($D$16="Rate 5",F67,IF($D$16="Rate 6",F84,IF($D$16="Rate 7",#REF!,IF($D$16="Rate 8",#REF!))))))))</f>
        <v>11816.4801509216</v>
      </c>
      <c r="G16" s="26">
        <f>IF($D$16="Rate 1",G32,IF($D$16="Rate 2",G46,IF($D$16="Rate 3",#REF!,IF($D$16="Rate 4",#REF!,IF($D$16="Rate 5",G67,IF($D$16="Rate 6",G84,IF($D$16="Rate 7",#REF!,IF($D$16="Rate 8",#REF!))))))))</f>
        <v>9533.486060554402</v>
      </c>
      <c r="H16" s="26">
        <f>IF($D$16="Rate 1",H32,IF($D$16="Rate 2",H46,IF($D$16="Rate 3",#REF!,IF($D$16="Rate 4",#REF!,IF($D$16="Rate 5",H67,IF($D$16="Rate 6",H84,IF($D$16="Rate 7",#REF!,IF($D$16="Rate 8",#REF!))))))))</f>
        <v>8043.5590349516</v>
      </c>
      <c r="I16" s="26">
        <f>IF($D$16="Rate 1",I32,IF($D$16="Rate 2",I46,IF($D$16="Rate 3",#REF!,IF($D$16="Rate 4",#REF!,IF($D$16="Rate 5",I67,IF($D$16="Rate 6",I84,IF($D$16="Rate 7",#REF!,IF($D$16="Rate 8",#REF!))))))))</f>
        <v>9872.915639224399</v>
      </c>
      <c r="J16" s="26">
        <f>IF($D$16="Rate 1",J32,IF($D$16="Rate 2",J46,IF($D$16="Rate 3",#REF!,IF($D$16="Rate 4",#REF!,IF($D$16="Rate 5",J67,IF($D$16="Rate 6",J84,IF($D$16="Rate 7",#REF!,IF($D$16="Rate 8",#REF!))))))))</f>
        <v>10074.081011314403</v>
      </c>
      <c r="K16" s="26">
        <f>IF($D$16="Rate 1",K32,IF($D$16="Rate 2",K46,IF($D$16="Rate 3",#REF!,IF($D$16="Rate 4",#REF!,IF($D$16="Rate 5",K67,IF($D$16="Rate 6",K84,IF($D$16="Rate 7",#REF!,IF($D$16="Rate 8",#REF!))))))))</f>
        <v>8850.786693812</v>
      </c>
      <c r="L16" s="26">
        <f>IF($D$16="Rate 1",L32,IF($D$16="Rate 2",L46,IF($D$16="Rate 3",#REF!,IF($D$16="Rate 4",#REF!,IF($D$16="Rate 5",L67,IF($D$16="Rate 6",L84,IF($D$16="Rate 7",#REF!,IF($D$16="Rate 8",#REF!))))))))</f>
        <v>8015.2378467596</v>
      </c>
      <c r="M16" s="26">
        <f>IF($D$16="Rate 1",M32,IF($D$16="Rate 2",M46,IF($D$16="Rate 3",#REF!,IF($D$16="Rate 4",#REF!,IF($D$16="Rate 5",M67,IF($D$16="Rate 6",M84,IF($D$16="Rate 7",#REF!,IF($D$16="Rate 8",#REF!))))))))</f>
        <v>7741.2756041</v>
      </c>
      <c r="N16" s="26">
        <f>IF($D$16="Rate 1",N32,IF($D$16="Rate 2",N46,IF($D$16="Rate 3",#REF!,IF($D$16="Rate 4",#REF!,IF($D$16="Rate 5",N67,IF($D$16="Rate 6",N84,IF($D$16="Rate 7",#REF!,IF($D$16="Rate 8",#REF!))))))))</f>
        <v>9910.486466676803</v>
      </c>
      <c r="O16" s="26">
        <f>IF($D$16="Rate 1",O32,IF($D$16="Rate 2",O46,IF($D$16="Rate 3",#REF!,IF($D$16="Rate 4",#REF!,IF($D$16="Rate 5",O67,IF($D$16="Rate 6",O84,IF($D$16="Rate 7",#REF!,IF($D$16="Rate 8",#REF!))))))))</f>
        <v>10086.321500709202</v>
      </c>
      <c r="P16" s="26">
        <f>IF($D$16="Rate 1",P32,IF($D$16="Rate 2",P46,IF($D$16="Rate 3",#REF!,IF($D$16="Rate 4",#REF!,IF($D$16="Rate 5",P67,IF($D$16="Rate 6",P84,IF($D$16="Rate 7",#REF!,IF($D$16="Rate 8",#REF!))))))))</f>
        <v>9247.855598910799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114297.945203922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694.3437071328008</v>
      </c>
      <c r="F17" s="28">
        <f aca="true" t="shared" si="0" ref="F17:R17">F15-F16</f>
        <v>739.1964012384033</v>
      </c>
      <c r="G17" s="28">
        <f t="shared" si="0"/>
        <v>582.7433963855965</v>
      </c>
      <c r="H17" s="28">
        <f t="shared" si="0"/>
        <v>481.93540335840135</v>
      </c>
      <c r="I17" s="28">
        <f t="shared" si="0"/>
        <v>638.256420465601</v>
      </c>
      <c r="J17" s="28">
        <f t="shared" si="0"/>
        <v>621.2583608255973</v>
      </c>
      <c r="K17" s="28">
        <f t="shared" si="0"/>
        <v>537.2701280879992</v>
      </c>
      <c r="L17" s="28">
        <f t="shared" si="0"/>
        <v>482.5559775503998</v>
      </c>
      <c r="M17" s="28">
        <f t="shared" si="0"/>
        <v>460.86077340000065</v>
      </c>
      <c r="N17" s="28">
        <f t="shared" si="0"/>
        <v>609.734900203197</v>
      </c>
      <c r="O17" s="28">
        <f t="shared" si="0"/>
        <v>653.7244636608011</v>
      </c>
      <c r="P17" s="29">
        <f t="shared" si="0"/>
        <v>611.6643534192026</v>
      </c>
      <c r="Q17" s="16"/>
      <c r="R17" s="28">
        <f t="shared" si="0"/>
        <v>7113.544285727985</v>
      </c>
      <c r="X17" s="20"/>
    </row>
    <row r="18" spans="2:24" ht="15" customHeight="1" thickBot="1">
      <c r="B18" s="13"/>
      <c r="C18" s="13"/>
      <c r="R18" s="64">
        <f>R17/R15</f>
        <v>0.058590371600163886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8699.220000000001</v>
      </c>
      <c r="F56" s="6">
        <f t="shared" si="32"/>
        <v>9260.460000000001</v>
      </c>
      <c r="G56" s="6">
        <f t="shared" si="32"/>
        <v>7342.89</v>
      </c>
      <c r="H56" s="6">
        <f t="shared" si="32"/>
        <v>6103.485000000001</v>
      </c>
      <c r="I56" s="6">
        <f t="shared" si="32"/>
        <v>7927.515</v>
      </c>
      <c r="J56" s="6">
        <f t="shared" si="32"/>
        <v>7810.59</v>
      </c>
      <c r="K56" s="6">
        <f t="shared" si="32"/>
        <v>6781.650000000001</v>
      </c>
      <c r="L56" s="6">
        <f t="shared" si="32"/>
        <v>6103.485000000001</v>
      </c>
      <c r="M56" s="6">
        <f t="shared" si="32"/>
        <v>5846.25</v>
      </c>
      <c r="N56" s="6">
        <f t="shared" si="32"/>
        <v>7670.280000000001</v>
      </c>
      <c r="O56" s="6">
        <f t="shared" si="32"/>
        <v>8114.595</v>
      </c>
      <c r="P56" s="6">
        <f t="shared" si="32"/>
        <v>7553.3550000000005</v>
      </c>
      <c r="Q56" s="47"/>
      <c r="R56" s="47">
        <f t="shared" si="31"/>
        <v>89213.77500000001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1483.3799999999999</v>
      </c>
      <c r="F57" s="6">
        <f t="shared" si="33"/>
        <v>1579.86</v>
      </c>
      <c r="G57" s="6">
        <f t="shared" si="33"/>
        <v>1374.84</v>
      </c>
      <c r="H57" s="6">
        <f t="shared" si="33"/>
        <v>1230.12</v>
      </c>
      <c r="I57" s="6">
        <f t="shared" si="33"/>
        <v>1133.6399999999999</v>
      </c>
      <c r="J57" s="6">
        <f t="shared" si="33"/>
        <v>1411.0199999999998</v>
      </c>
      <c r="K57" s="6">
        <f t="shared" si="33"/>
        <v>1302.4799999999998</v>
      </c>
      <c r="L57" s="6">
        <f t="shared" si="33"/>
        <v>1205.9999999999998</v>
      </c>
      <c r="M57" s="6">
        <f t="shared" si="33"/>
        <v>1205.9999999999998</v>
      </c>
      <c r="N57" s="6">
        <f t="shared" si="33"/>
        <v>1398.9599999999998</v>
      </c>
      <c r="O57" s="6">
        <f t="shared" si="33"/>
        <v>1145.6999999999998</v>
      </c>
      <c r="P57" s="6">
        <f t="shared" si="33"/>
        <v>940.68</v>
      </c>
      <c r="Q57" s="47"/>
      <c r="R57" s="47">
        <f t="shared" si="31"/>
        <v>15412.68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110.03759999999998</v>
      </c>
      <c r="F59" s="6">
        <f t="shared" si="35"/>
        <v>117.1368</v>
      </c>
      <c r="G59" s="6">
        <f t="shared" si="35"/>
        <v>92.88119999999999</v>
      </c>
      <c r="H59" s="6">
        <f t="shared" si="35"/>
        <v>77.20379999999999</v>
      </c>
      <c r="I59" s="6">
        <f t="shared" si="35"/>
        <v>100.27619999999999</v>
      </c>
      <c r="J59" s="6">
        <f t="shared" si="35"/>
        <v>98.79719999999999</v>
      </c>
      <c r="K59" s="6">
        <f t="shared" si="35"/>
        <v>85.782</v>
      </c>
      <c r="L59" s="6">
        <f t="shared" si="35"/>
        <v>77.20379999999999</v>
      </c>
      <c r="M59" s="6">
        <f t="shared" si="35"/>
        <v>73.94999999999999</v>
      </c>
      <c r="N59" s="6">
        <f t="shared" si="35"/>
        <v>97.02239999999999</v>
      </c>
      <c r="O59" s="6">
        <f t="shared" si="35"/>
        <v>102.64259999999999</v>
      </c>
      <c r="P59" s="6">
        <f t="shared" si="35"/>
        <v>95.54339999999999</v>
      </c>
      <c r="Q59" s="47"/>
      <c r="R59" s="47">
        <f t="shared" si="31"/>
        <v>1128.4769999999999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227.78676000000002</v>
      </c>
      <c r="F60" s="6">
        <f t="shared" si="36"/>
        <v>242.48268000000002</v>
      </c>
      <c r="G60" s="6">
        <f t="shared" si="36"/>
        <v>192.27162</v>
      </c>
      <c r="H60" s="6">
        <f t="shared" si="36"/>
        <v>159.81813</v>
      </c>
      <c r="I60" s="6">
        <f t="shared" si="36"/>
        <v>207.57987</v>
      </c>
      <c r="J60" s="6">
        <f t="shared" si="36"/>
        <v>204.51822</v>
      </c>
      <c r="K60" s="6">
        <f t="shared" si="36"/>
        <v>177.5757</v>
      </c>
      <c r="L60" s="6">
        <f t="shared" si="36"/>
        <v>159.81813</v>
      </c>
      <c r="M60" s="6">
        <f t="shared" si="36"/>
        <v>153.0825</v>
      </c>
      <c r="N60" s="6">
        <f t="shared" si="36"/>
        <v>200.84424</v>
      </c>
      <c r="O60" s="6">
        <f t="shared" si="36"/>
        <v>212.47851</v>
      </c>
      <c r="P60" s="6">
        <f t="shared" si="36"/>
        <v>197.78259</v>
      </c>
      <c r="Q60" s="47"/>
      <c r="R60" s="47">
        <f t="shared" si="31"/>
        <v>2336.0389499999997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108.25200000000001</v>
      </c>
      <c r="F61" s="6">
        <f aca="true" t="shared" si="37" ref="F61:P61">$D61*F$7</f>
        <v>115.236</v>
      </c>
      <c r="G61" s="6">
        <f t="shared" si="37"/>
        <v>91.37400000000001</v>
      </c>
      <c r="H61" s="6">
        <f t="shared" si="37"/>
        <v>75.95100000000001</v>
      </c>
      <c r="I61" s="6">
        <f t="shared" si="37"/>
        <v>98.649</v>
      </c>
      <c r="J61" s="6">
        <f t="shared" si="37"/>
        <v>97.194</v>
      </c>
      <c r="K61" s="6">
        <f t="shared" si="37"/>
        <v>84.39</v>
      </c>
      <c r="L61" s="6">
        <f t="shared" si="37"/>
        <v>75.95100000000001</v>
      </c>
      <c r="M61" s="6">
        <f t="shared" si="37"/>
        <v>72.75</v>
      </c>
      <c r="N61" s="6">
        <f t="shared" si="37"/>
        <v>95.44800000000001</v>
      </c>
      <c r="O61" s="6">
        <f t="shared" si="37"/>
        <v>100.977</v>
      </c>
      <c r="P61" s="6">
        <f t="shared" si="37"/>
        <v>93.99300000000001</v>
      </c>
      <c r="Q61" s="47"/>
      <c r="R61" s="47">
        <f t="shared" si="31"/>
        <v>1110.165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1086.12694312</v>
      </c>
      <c r="F62" s="6">
        <f aca="true" t="shared" si="38" ref="F62:P62">(SUM(F55:F61)-($D60+$C60)*F$7)*$D62</f>
        <v>1155.5010721600001</v>
      </c>
      <c r="G62" s="6">
        <f t="shared" si="38"/>
        <v>936.9726369399998</v>
      </c>
      <c r="H62" s="6">
        <f t="shared" si="38"/>
        <v>793.91650831</v>
      </c>
      <c r="I62" s="6">
        <f t="shared" si="38"/>
        <v>958.51198969</v>
      </c>
      <c r="J62" s="6">
        <f t="shared" si="38"/>
        <v>988.2199521400001</v>
      </c>
      <c r="K62" s="6">
        <f t="shared" si="38"/>
        <v>871.1791218999998</v>
      </c>
      <c r="L62" s="6">
        <f t="shared" si="38"/>
        <v>790.33589431</v>
      </c>
      <c r="M62" s="6">
        <f t="shared" si="38"/>
        <v>765.1038775000001</v>
      </c>
      <c r="N62" s="6">
        <f t="shared" si="38"/>
        <v>972.66672688</v>
      </c>
      <c r="O62" s="6">
        <f t="shared" si="38"/>
        <v>978.6528543700003</v>
      </c>
      <c r="P62" s="6">
        <f t="shared" si="38"/>
        <v>893.1659623300002</v>
      </c>
      <c r="Q62" s="47"/>
      <c r="R62" s="47">
        <f t="shared" si="31"/>
        <v>11190.35353965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11799.803303120001</v>
      </c>
      <c r="F67" s="52">
        <f aca="true" t="shared" si="43" ref="F67:P67">SUM(F55:F66)</f>
        <v>12555.676552160003</v>
      </c>
      <c r="G67" s="52">
        <f t="shared" si="43"/>
        <v>10116.229456939998</v>
      </c>
      <c r="H67" s="52">
        <f t="shared" si="43"/>
        <v>8525.494438310001</v>
      </c>
      <c r="I67" s="52">
        <f t="shared" si="43"/>
        <v>10511.17205969</v>
      </c>
      <c r="J67" s="52">
        <f t="shared" si="43"/>
        <v>10695.33937214</v>
      </c>
      <c r="K67" s="52">
        <f t="shared" si="43"/>
        <v>9388.0568219</v>
      </c>
      <c r="L67" s="52">
        <f t="shared" si="43"/>
        <v>8497.79382431</v>
      </c>
      <c r="M67" s="52">
        <f t="shared" si="43"/>
        <v>8202.1363775</v>
      </c>
      <c r="N67" s="52">
        <f t="shared" si="43"/>
        <v>10520.22136688</v>
      </c>
      <c r="O67" s="52">
        <f t="shared" si="43"/>
        <v>10740.045964370003</v>
      </c>
      <c r="P67" s="52">
        <f t="shared" si="43"/>
        <v>9859.519952330002</v>
      </c>
      <c r="Q67" s="53"/>
      <c r="R67" s="54">
        <f>SUM(E67:P67)</f>
        <v>121411.48948964999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7829.298000000001</v>
      </c>
      <c r="F72" s="6">
        <f t="shared" si="46"/>
        <v>8334.414</v>
      </c>
      <c r="G72" s="6">
        <f t="shared" si="46"/>
        <v>6608.601000000001</v>
      </c>
      <c r="H72" s="6">
        <f t="shared" si="46"/>
        <v>5493.1365000000005</v>
      </c>
      <c r="I72" s="6">
        <f t="shared" si="46"/>
        <v>7134.763500000001</v>
      </c>
      <c r="J72" s="6">
        <f t="shared" si="46"/>
        <v>7029.531000000001</v>
      </c>
      <c r="K72" s="6">
        <f t="shared" si="46"/>
        <v>6103.485000000001</v>
      </c>
      <c r="L72" s="6">
        <f t="shared" si="46"/>
        <v>5493.1365000000005</v>
      </c>
      <c r="M72" s="6">
        <f t="shared" si="46"/>
        <v>5261.625000000001</v>
      </c>
      <c r="N72" s="6">
        <f t="shared" si="46"/>
        <v>6903.252000000001</v>
      </c>
      <c r="O72" s="6">
        <f t="shared" si="46"/>
        <v>7303.135500000001</v>
      </c>
      <c r="P72" s="6">
        <f t="shared" si="46"/>
        <v>6798.019500000001</v>
      </c>
      <c r="Q72" s="47"/>
      <c r="R72" s="47">
        <f t="shared" si="45"/>
        <v>80292.3975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1335.042</v>
      </c>
      <c r="F73" s="6">
        <f t="shared" si="47"/>
        <v>1421.874</v>
      </c>
      <c r="G73" s="6">
        <f t="shared" si="47"/>
        <v>1237.356</v>
      </c>
      <c r="H73" s="6">
        <f t="shared" si="47"/>
        <v>1107.108</v>
      </c>
      <c r="I73" s="6">
        <f t="shared" si="47"/>
        <v>1020.276</v>
      </c>
      <c r="J73" s="6">
        <f t="shared" si="47"/>
        <v>1269.918</v>
      </c>
      <c r="K73" s="6">
        <f t="shared" si="47"/>
        <v>1172.232</v>
      </c>
      <c r="L73" s="6">
        <f t="shared" si="47"/>
        <v>1085.3999999999999</v>
      </c>
      <c r="M73" s="6">
        <f t="shared" si="47"/>
        <v>1085.3999999999999</v>
      </c>
      <c r="N73" s="6">
        <f t="shared" si="47"/>
        <v>1259.0639999999999</v>
      </c>
      <c r="O73" s="6">
        <f t="shared" si="47"/>
        <v>1031.1299999999999</v>
      </c>
      <c r="P73" s="6">
        <f t="shared" si="47"/>
        <v>846.612</v>
      </c>
      <c r="Q73" s="47"/>
      <c r="R73" s="47">
        <f t="shared" si="45"/>
        <v>13871.411999999998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227.78676000000002</v>
      </c>
      <c r="F75" s="6">
        <f t="shared" si="49"/>
        <v>242.48268000000002</v>
      </c>
      <c r="G75" s="6">
        <f t="shared" si="49"/>
        <v>192.27162</v>
      </c>
      <c r="H75" s="6">
        <f t="shared" si="49"/>
        <v>159.81813</v>
      </c>
      <c r="I75" s="6">
        <f t="shared" si="49"/>
        <v>207.57987</v>
      </c>
      <c r="J75" s="6">
        <f t="shared" si="49"/>
        <v>204.51822</v>
      </c>
      <c r="K75" s="6">
        <f t="shared" si="49"/>
        <v>177.5757</v>
      </c>
      <c r="L75" s="6">
        <f t="shared" si="49"/>
        <v>159.81813</v>
      </c>
      <c r="M75" s="6">
        <f t="shared" si="49"/>
        <v>153.0825</v>
      </c>
      <c r="N75" s="6">
        <f t="shared" si="49"/>
        <v>200.84424</v>
      </c>
      <c r="O75" s="6">
        <f t="shared" si="49"/>
        <v>212.47851</v>
      </c>
      <c r="P75" s="6">
        <f t="shared" si="49"/>
        <v>197.78259</v>
      </c>
      <c r="Q75" s="47"/>
      <c r="R75" s="47">
        <f t="shared" si="45"/>
        <v>2336.0389499999997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110.03759999999998</v>
      </c>
      <c r="F76" s="6">
        <f t="shared" si="50"/>
        <v>117.1368</v>
      </c>
      <c r="G76" s="6">
        <f t="shared" si="50"/>
        <v>92.88119999999999</v>
      </c>
      <c r="H76" s="6">
        <f t="shared" si="50"/>
        <v>77.20379999999999</v>
      </c>
      <c r="I76" s="6">
        <f t="shared" si="50"/>
        <v>100.27619999999999</v>
      </c>
      <c r="J76" s="6">
        <f t="shared" si="50"/>
        <v>98.79719999999999</v>
      </c>
      <c r="K76" s="6">
        <f t="shared" si="50"/>
        <v>85.782</v>
      </c>
      <c r="L76" s="6">
        <f t="shared" si="50"/>
        <v>77.20379999999999</v>
      </c>
      <c r="M76" s="6">
        <f t="shared" si="50"/>
        <v>73.94999999999999</v>
      </c>
      <c r="N76" s="6">
        <f t="shared" si="50"/>
        <v>97.02239999999999</v>
      </c>
      <c r="O76" s="6">
        <f t="shared" si="50"/>
        <v>102.64259999999999</v>
      </c>
      <c r="P76" s="6">
        <f t="shared" si="50"/>
        <v>95.54339999999999</v>
      </c>
      <c r="Q76" s="47"/>
      <c r="R76" s="47">
        <f t="shared" si="45"/>
        <v>1128.4769999999999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131.9112</v>
      </c>
      <c r="F77" s="6">
        <f aca="true" t="shared" si="51" ref="F77:P77">$D77*F$7</f>
        <v>140.4216</v>
      </c>
      <c r="G77" s="6">
        <f t="shared" si="51"/>
        <v>111.34440000000001</v>
      </c>
      <c r="H77" s="6">
        <f t="shared" si="51"/>
        <v>92.5506</v>
      </c>
      <c r="I77" s="6">
        <f t="shared" si="51"/>
        <v>120.20940000000002</v>
      </c>
      <c r="J77" s="6">
        <f t="shared" si="51"/>
        <v>118.4364</v>
      </c>
      <c r="K77" s="6">
        <f t="shared" si="51"/>
        <v>102.834</v>
      </c>
      <c r="L77" s="6">
        <f t="shared" si="51"/>
        <v>92.5506</v>
      </c>
      <c r="M77" s="6">
        <f t="shared" si="51"/>
        <v>88.65</v>
      </c>
      <c r="N77" s="6">
        <f t="shared" si="51"/>
        <v>116.3088</v>
      </c>
      <c r="O77" s="6">
        <f t="shared" si="51"/>
        <v>123.04620000000001</v>
      </c>
      <c r="P77" s="6">
        <f t="shared" si="51"/>
        <v>114.53580000000001</v>
      </c>
      <c r="Q77" s="47"/>
      <c r="R77" s="47">
        <f t="shared" si="45"/>
        <v>1352.7990000000002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155.124</v>
      </c>
      <c r="F80" s="6">
        <f t="shared" si="54"/>
        <v>165.132</v>
      </c>
      <c r="G80" s="6">
        <f t="shared" si="54"/>
        <v>130.938</v>
      </c>
      <c r="H80" s="6">
        <f t="shared" si="54"/>
        <v>108.837</v>
      </c>
      <c r="I80" s="6">
        <f t="shared" si="54"/>
        <v>141.363</v>
      </c>
      <c r="J80" s="6">
        <f t="shared" si="54"/>
        <v>139.278</v>
      </c>
      <c r="K80" s="6">
        <f t="shared" si="54"/>
        <v>120.92999999999999</v>
      </c>
      <c r="L80" s="6">
        <f t="shared" si="54"/>
        <v>108.837</v>
      </c>
      <c r="M80" s="6">
        <f t="shared" si="54"/>
        <v>104.25</v>
      </c>
      <c r="N80" s="6">
        <f t="shared" si="54"/>
        <v>136.77599999999998</v>
      </c>
      <c r="O80" s="6">
        <f t="shared" si="54"/>
        <v>144.69899999999998</v>
      </c>
      <c r="P80" s="6">
        <f t="shared" si="54"/>
        <v>134.691</v>
      </c>
      <c r="Q80" s="47"/>
      <c r="R80" s="47">
        <f t="shared" si="45"/>
        <v>1590.8550000000002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166.05</v>
      </c>
      <c r="F81" s="6">
        <f t="shared" si="55"/>
        <v>176.85</v>
      </c>
      <c r="G81" s="6">
        <f t="shared" si="55"/>
        <v>153.9</v>
      </c>
      <c r="H81" s="6">
        <f t="shared" si="55"/>
        <v>137.70000000000002</v>
      </c>
      <c r="I81" s="6">
        <f t="shared" si="55"/>
        <v>126.9</v>
      </c>
      <c r="J81" s="6">
        <f t="shared" si="55"/>
        <v>157.95000000000002</v>
      </c>
      <c r="K81" s="6">
        <f t="shared" si="55"/>
        <v>145.8</v>
      </c>
      <c r="L81" s="6">
        <f t="shared" si="55"/>
        <v>135</v>
      </c>
      <c r="M81" s="6">
        <f t="shared" si="55"/>
        <v>135</v>
      </c>
      <c r="N81" s="6">
        <f t="shared" si="55"/>
        <v>156.6</v>
      </c>
      <c r="O81" s="6">
        <f t="shared" si="55"/>
        <v>128.25</v>
      </c>
      <c r="P81" s="6">
        <f t="shared" si="55"/>
        <v>105.3</v>
      </c>
      <c r="Q81" s="47"/>
      <c r="R81" s="47">
        <f t="shared" si="45"/>
        <v>1725.3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413.8497359216</v>
      </c>
      <c r="F82" s="6">
        <f t="shared" si="56"/>
        <v>440.25653714479995</v>
      </c>
      <c r="G82" s="6">
        <f t="shared" si="56"/>
        <v>357.8894497082</v>
      </c>
      <c r="H82" s="6">
        <f t="shared" si="56"/>
        <v>303.88264167229994</v>
      </c>
      <c r="I82" s="6">
        <f t="shared" si="56"/>
        <v>363.85547765569993</v>
      </c>
      <c r="J82" s="6">
        <f t="shared" si="56"/>
        <v>377.10745123820016</v>
      </c>
      <c r="K82" s="6">
        <f t="shared" si="56"/>
        <v>333.003193661</v>
      </c>
      <c r="L82" s="6">
        <f t="shared" si="56"/>
        <v>302.36209649629996</v>
      </c>
      <c r="M82" s="6">
        <f t="shared" si="56"/>
        <v>293.04664542499995</v>
      </c>
      <c r="N82" s="6">
        <f t="shared" si="56"/>
        <v>371.2660235204001</v>
      </c>
      <c r="O82" s="6">
        <f t="shared" si="56"/>
        <v>371.3906237501001</v>
      </c>
      <c r="P82" s="6">
        <f t="shared" si="56"/>
        <v>338.1413692349</v>
      </c>
      <c r="Q82" s="47"/>
      <c r="R82" s="47">
        <f t="shared" si="45"/>
        <v>4266.0512454285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651.2103000656</v>
      </c>
      <c r="F83" s="6">
        <f t="shared" si="57"/>
        <v>692.7625337768</v>
      </c>
      <c r="G83" s="6">
        <f t="shared" si="57"/>
        <v>563.1543908462</v>
      </c>
      <c r="H83" s="6">
        <f t="shared" si="57"/>
        <v>478.17236327929993</v>
      </c>
      <c r="I83" s="6">
        <f t="shared" si="57"/>
        <v>572.5421915686999</v>
      </c>
      <c r="J83" s="6">
        <f t="shared" si="57"/>
        <v>593.3947400762003</v>
      </c>
      <c r="K83" s="6">
        <f t="shared" si="57"/>
        <v>523.994800151</v>
      </c>
      <c r="L83" s="6">
        <f t="shared" si="57"/>
        <v>475.7797202633</v>
      </c>
      <c r="M83" s="6">
        <f t="shared" si="57"/>
        <v>461.121458675</v>
      </c>
      <c r="N83" s="6">
        <f t="shared" si="57"/>
        <v>584.2030031564002</v>
      </c>
      <c r="O83" s="6">
        <f t="shared" si="57"/>
        <v>584.3990669591002</v>
      </c>
      <c r="P83" s="6">
        <f t="shared" si="57"/>
        <v>532.0799396759</v>
      </c>
      <c r="R83" s="47">
        <f t="shared" si="45"/>
        <v>6712.814508493501</v>
      </c>
      <c r="S83" s="20"/>
    </row>
    <row r="84" spans="1:18" ht="15.75" thickBot="1">
      <c r="A84" s="40"/>
      <c r="D84" s="9" t="s">
        <v>24</v>
      </c>
      <c r="E84" s="52">
        <f>SUM(E71:E83)</f>
        <v>11105.4595959872</v>
      </c>
      <c r="F84" s="52">
        <f aca="true" t="shared" si="58" ref="F84:P84">SUM(F71:F83)</f>
        <v>11816.4801509216</v>
      </c>
      <c r="G84" s="52">
        <f t="shared" si="58"/>
        <v>9533.486060554402</v>
      </c>
      <c r="H84" s="52">
        <f t="shared" si="58"/>
        <v>8043.5590349516</v>
      </c>
      <c r="I84" s="52">
        <f t="shared" si="58"/>
        <v>9872.915639224399</v>
      </c>
      <c r="J84" s="52">
        <f t="shared" si="58"/>
        <v>10074.081011314403</v>
      </c>
      <c r="K84" s="52">
        <f t="shared" si="58"/>
        <v>8850.786693812</v>
      </c>
      <c r="L84" s="52">
        <f t="shared" si="58"/>
        <v>8015.2378467596</v>
      </c>
      <c r="M84" s="52">
        <f t="shared" si="58"/>
        <v>7741.2756041</v>
      </c>
      <c r="N84" s="52">
        <f t="shared" si="58"/>
        <v>9910.486466676803</v>
      </c>
      <c r="O84" s="52">
        <f t="shared" si="58"/>
        <v>10086.321500709202</v>
      </c>
      <c r="P84" s="52">
        <f t="shared" si="58"/>
        <v>9247.855598910799</v>
      </c>
      <c r="Q84" s="53"/>
      <c r="R84" s="54">
        <f>SUM(E84:P84)</f>
        <v>114297.945203922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112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100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39040</v>
      </c>
      <c r="F7" s="75">
        <v>42880</v>
      </c>
      <c r="G7" s="75">
        <v>37760</v>
      </c>
      <c r="H7" s="75">
        <v>42560</v>
      </c>
      <c r="I7" s="75">
        <v>52160</v>
      </c>
      <c r="J7" s="75">
        <v>47840</v>
      </c>
      <c r="K7" s="75">
        <v>46560</v>
      </c>
      <c r="L7" s="76">
        <v>30400</v>
      </c>
      <c r="M7" s="76">
        <v>24640</v>
      </c>
      <c r="N7" s="76">
        <v>28800</v>
      </c>
      <c r="O7" s="76">
        <v>22720</v>
      </c>
      <c r="P7" s="76">
        <v>18240</v>
      </c>
      <c r="R7" s="4">
        <f>SUM(E7:P7)</f>
        <v>433600</v>
      </c>
      <c r="S7" s="15">
        <f>R7/(8760*MAX(E10:P10))</f>
        <v>0.37272377179952687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132.8</v>
      </c>
      <c r="C10" s="34"/>
      <c r="D10" s="10" t="s">
        <v>5</v>
      </c>
      <c r="E10" s="76">
        <v>115.2</v>
      </c>
      <c r="F10" s="76">
        <v>115.2</v>
      </c>
      <c r="G10" s="76">
        <v>92.8</v>
      </c>
      <c r="H10" s="76">
        <v>108.8</v>
      </c>
      <c r="I10" s="76">
        <v>110.4</v>
      </c>
      <c r="J10" s="76">
        <v>132.8</v>
      </c>
      <c r="K10" s="76">
        <v>132.8</v>
      </c>
      <c r="L10" s="76">
        <v>0</v>
      </c>
      <c r="M10" s="76">
        <v>70.4</v>
      </c>
      <c r="N10" s="76">
        <v>86.4</v>
      </c>
      <c r="O10" s="76">
        <v>84.8</v>
      </c>
      <c r="P10" s="76">
        <v>64</v>
      </c>
      <c r="R10" s="4">
        <f>SUM(E10:P10)</f>
        <v>1113.6</v>
      </c>
      <c r="W10" s="15" t="s">
        <v>46</v>
      </c>
      <c r="X10" s="20"/>
    </row>
    <row r="11" spans="2:24" ht="15">
      <c r="B11" s="34">
        <f>MAX(E11:P11)</f>
        <v>132.8</v>
      </c>
      <c r="C11" s="34"/>
      <c r="D11" s="10" t="s">
        <v>6</v>
      </c>
      <c r="E11" s="76">
        <v>115.2</v>
      </c>
      <c r="F11" s="76">
        <v>115.2</v>
      </c>
      <c r="G11" s="76">
        <v>92.8</v>
      </c>
      <c r="H11" s="76">
        <v>108.8</v>
      </c>
      <c r="I11" s="76">
        <v>110.4</v>
      </c>
      <c r="J11" s="76">
        <v>132.8</v>
      </c>
      <c r="K11" s="76">
        <v>132.8</v>
      </c>
      <c r="L11" s="76">
        <v>0</v>
      </c>
      <c r="M11" s="76">
        <v>70.4</v>
      </c>
      <c r="N11" s="76">
        <v>86.4</v>
      </c>
      <c r="O11" s="76">
        <v>84.8</v>
      </c>
      <c r="P11" s="76">
        <v>64</v>
      </c>
      <c r="R11" s="4">
        <f>SUM(E11:P11)</f>
        <v>1113.6</v>
      </c>
      <c r="W11" s="15" t="s">
        <v>47</v>
      </c>
      <c r="X11" s="20"/>
    </row>
    <row r="12" spans="2:24" ht="15">
      <c r="B12" s="34">
        <f>MAX(E12:P12)</f>
        <v>132.8</v>
      </c>
      <c r="C12" s="34"/>
      <c r="D12" s="10" t="s">
        <v>7</v>
      </c>
      <c r="E12" s="76">
        <v>115.2</v>
      </c>
      <c r="F12" s="76">
        <v>115.2</v>
      </c>
      <c r="G12" s="76">
        <v>92.8</v>
      </c>
      <c r="H12" s="76">
        <v>108.8</v>
      </c>
      <c r="I12" s="76">
        <v>110.4</v>
      </c>
      <c r="J12" s="76">
        <v>132.8</v>
      </c>
      <c r="K12" s="76">
        <v>132.8</v>
      </c>
      <c r="L12" s="76">
        <v>0</v>
      </c>
      <c r="M12" s="76">
        <v>70.4</v>
      </c>
      <c r="N12" s="76">
        <v>86.4</v>
      </c>
      <c r="O12" s="76">
        <v>84.8</v>
      </c>
      <c r="P12" s="76">
        <v>64</v>
      </c>
      <c r="R12" s="4">
        <f>SUM(E12:P12)</f>
        <v>1113.6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3043.168</v>
      </c>
      <c r="F56" s="6">
        <f t="shared" si="32"/>
        <v>3342.496</v>
      </c>
      <c r="G56" s="6">
        <f t="shared" si="32"/>
        <v>2943.3920000000003</v>
      </c>
      <c r="H56" s="6">
        <f t="shared" si="32"/>
        <v>3317.552</v>
      </c>
      <c r="I56" s="6">
        <f t="shared" si="32"/>
        <v>4065.8720000000003</v>
      </c>
      <c r="J56" s="6">
        <f t="shared" si="32"/>
        <v>3729.128</v>
      </c>
      <c r="K56" s="6">
        <f t="shared" si="32"/>
        <v>3629.3520000000003</v>
      </c>
      <c r="L56" s="6">
        <f t="shared" si="32"/>
        <v>2369.6800000000003</v>
      </c>
      <c r="M56" s="6">
        <f t="shared" si="32"/>
        <v>1920.688</v>
      </c>
      <c r="N56" s="6">
        <f t="shared" si="32"/>
        <v>2244.96</v>
      </c>
      <c r="O56" s="6">
        <f t="shared" si="32"/>
        <v>1771.0240000000001</v>
      </c>
      <c r="P56" s="6">
        <f t="shared" si="32"/>
        <v>1421.808</v>
      </c>
      <c r="Q56" s="47"/>
      <c r="R56" s="47">
        <f t="shared" si="31"/>
        <v>33799.12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463.104</v>
      </c>
      <c r="F57" s="6">
        <f t="shared" si="33"/>
        <v>463.104</v>
      </c>
      <c r="G57" s="6">
        <f t="shared" si="33"/>
        <v>373.0559999999999</v>
      </c>
      <c r="H57" s="6">
        <f t="shared" si="33"/>
        <v>437.3759999999999</v>
      </c>
      <c r="I57" s="6">
        <f t="shared" si="33"/>
        <v>443.808</v>
      </c>
      <c r="J57" s="6">
        <f t="shared" si="33"/>
        <v>533.856</v>
      </c>
      <c r="K57" s="6">
        <f t="shared" si="33"/>
        <v>533.856</v>
      </c>
      <c r="L57" s="6">
        <f t="shared" si="33"/>
        <v>0</v>
      </c>
      <c r="M57" s="6">
        <f t="shared" si="33"/>
        <v>283.008</v>
      </c>
      <c r="N57" s="6">
        <f t="shared" si="33"/>
        <v>347.328</v>
      </c>
      <c r="O57" s="6">
        <f t="shared" si="33"/>
        <v>340.89599999999996</v>
      </c>
      <c r="P57" s="6">
        <f t="shared" si="33"/>
        <v>257.28</v>
      </c>
      <c r="Q57" s="47"/>
      <c r="R57" s="47">
        <f t="shared" si="31"/>
        <v>4476.672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38.49343999999999</v>
      </c>
      <c r="F59" s="6">
        <f t="shared" si="35"/>
        <v>42.27968</v>
      </c>
      <c r="G59" s="6">
        <f t="shared" si="35"/>
        <v>37.231359999999995</v>
      </c>
      <c r="H59" s="6">
        <f t="shared" si="35"/>
        <v>41.96415999999999</v>
      </c>
      <c r="I59" s="6">
        <f t="shared" si="35"/>
        <v>51.429759999999995</v>
      </c>
      <c r="J59" s="6">
        <f t="shared" si="35"/>
        <v>47.17023999999999</v>
      </c>
      <c r="K59" s="6">
        <f t="shared" si="35"/>
        <v>45.908159999999995</v>
      </c>
      <c r="L59" s="6">
        <f t="shared" si="35"/>
        <v>29.974399999999996</v>
      </c>
      <c r="M59" s="6">
        <f t="shared" si="35"/>
        <v>24.295039999999997</v>
      </c>
      <c r="N59" s="6">
        <f t="shared" si="35"/>
        <v>28.396799999999995</v>
      </c>
      <c r="O59" s="6">
        <f t="shared" si="35"/>
        <v>22.401919999999997</v>
      </c>
      <c r="P59" s="6">
        <f t="shared" si="35"/>
        <v>17.98464</v>
      </c>
      <c r="Q59" s="47"/>
      <c r="R59" s="47">
        <f t="shared" si="31"/>
        <v>427.52959999999996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79.684544</v>
      </c>
      <c r="F60" s="6">
        <f t="shared" si="36"/>
        <v>87.522368</v>
      </c>
      <c r="G60" s="6">
        <f t="shared" si="36"/>
        <v>77.07193600000001</v>
      </c>
      <c r="H60" s="6">
        <f t="shared" si="36"/>
        <v>86.86921600000001</v>
      </c>
      <c r="I60" s="6">
        <f t="shared" si="36"/>
        <v>106.46377600000001</v>
      </c>
      <c r="J60" s="6">
        <f t="shared" si="36"/>
        <v>97.646224</v>
      </c>
      <c r="K60" s="6">
        <f t="shared" si="36"/>
        <v>95.03361600000001</v>
      </c>
      <c r="L60" s="6">
        <f t="shared" si="36"/>
        <v>62.049440000000004</v>
      </c>
      <c r="M60" s="6">
        <f t="shared" si="36"/>
        <v>50.292704</v>
      </c>
      <c r="N60" s="6">
        <f t="shared" si="36"/>
        <v>58.783680000000004</v>
      </c>
      <c r="O60" s="6">
        <f t="shared" si="36"/>
        <v>46.373792</v>
      </c>
      <c r="P60" s="6">
        <f t="shared" si="36"/>
        <v>37.229664</v>
      </c>
      <c r="Q60" s="47"/>
      <c r="R60" s="47">
        <f t="shared" si="31"/>
        <v>885.02096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37.8688</v>
      </c>
      <c r="F61" s="6">
        <f aca="true" t="shared" si="37" ref="F61:P61">$D61*F$7</f>
        <v>41.5936</v>
      </c>
      <c r="G61" s="6">
        <f t="shared" si="37"/>
        <v>36.6272</v>
      </c>
      <c r="H61" s="6">
        <f t="shared" si="37"/>
        <v>41.2832</v>
      </c>
      <c r="I61" s="6">
        <f t="shared" si="37"/>
        <v>50.595200000000006</v>
      </c>
      <c r="J61" s="6">
        <f t="shared" si="37"/>
        <v>46.4048</v>
      </c>
      <c r="K61" s="6">
        <f t="shared" si="37"/>
        <v>45.1632</v>
      </c>
      <c r="L61" s="6">
        <f t="shared" si="37"/>
        <v>29.488000000000003</v>
      </c>
      <c r="M61" s="6">
        <f t="shared" si="37"/>
        <v>23.9008</v>
      </c>
      <c r="N61" s="6">
        <f t="shared" si="37"/>
        <v>27.936</v>
      </c>
      <c r="O61" s="6">
        <f t="shared" si="37"/>
        <v>22.038400000000003</v>
      </c>
      <c r="P61" s="6">
        <f t="shared" si="37"/>
        <v>17.692800000000002</v>
      </c>
      <c r="Q61" s="47"/>
      <c r="R61" s="47">
        <f t="shared" si="31"/>
        <v>420.592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379.86844372800005</v>
      </c>
      <c r="F62" s="6">
        <f aca="true" t="shared" si="38" ref="F62:P62">(SUM(F55:F61)-($D60+$C60)*F$7)*$D62</f>
        <v>409.229336016</v>
      </c>
      <c r="G62" s="6">
        <f t="shared" si="38"/>
        <v>356.713854032</v>
      </c>
      <c r="H62" s="6">
        <f t="shared" si="38"/>
        <v>402.9632733919999</v>
      </c>
      <c r="I62" s="6">
        <f t="shared" si="38"/>
        <v>477.32033451199993</v>
      </c>
      <c r="J62" s="6">
        <f t="shared" si="38"/>
        <v>457.6569562880002</v>
      </c>
      <c r="K62" s="6">
        <f t="shared" si="38"/>
        <v>447.86999219200004</v>
      </c>
      <c r="L62" s="6">
        <f t="shared" si="38"/>
        <v>245.05864728</v>
      </c>
      <c r="M62" s="6">
        <f t="shared" si="38"/>
        <v>243.02984644799994</v>
      </c>
      <c r="N62" s="6">
        <f t="shared" si="38"/>
        <v>284.38578376</v>
      </c>
      <c r="O62" s="6">
        <f t="shared" si="38"/>
        <v>236.94287390399995</v>
      </c>
      <c r="P62" s="6">
        <f t="shared" si="38"/>
        <v>190.27570436799996</v>
      </c>
      <c r="Q62" s="47"/>
      <c r="R62" s="47">
        <f t="shared" si="31"/>
        <v>4131.315045920001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4127.187227728001</v>
      </c>
      <c r="F67" s="52">
        <f aca="true" t="shared" si="43" ref="F67:P67">SUM(F55:F66)</f>
        <v>4471.224984016</v>
      </c>
      <c r="G67" s="52">
        <f t="shared" si="43"/>
        <v>3909.0923500319996</v>
      </c>
      <c r="H67" s="52">
        <f t="shared" si="43"/>
        <v>4413.007849392</v>
      </c>
      <c r="I67" s="52">
        <f t="shared" si="43"/>
        <v>5280.489070512</v>
      </c>
      <c r="J67" s="52">
        <f t="shared" si="43"/>
        <v>4996.8622202880015</v>
      </c>
      <c r="K67" s="52">
        <f t="shared" si="43"/>
        <v>4882.182968192</v>
      </c>
      <c r="L67" s="52">
        <f t="shared" si="43"/>
        <v>2821.25048728</v>
      </c>
      <c r="M67" s="52">
        <f t="shared" si="43"/>
        <v>2630.214390448</v>
      </c>
      <c r="N67" s="52">
        <f t="shared" si="43"/>
        <v>3076.79026376</v>
      </c>
      <c r="O67" s="52">
        <f t="shared" si="43"/>
        <v>2524.6769859039996</v>
      </c>
      <c r="P67" s="52">
        <f t="shared" si="43"/>
        <v>2027.2708083679997</v>
      </c>
      <c r="Q67" s="53"/>
      <c r="R67" s="54">
        <f>SUM(E67:P67)</f>
        <v>45160.24960592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2738.8512000000005</v>
      </c>
      <c r="F72" s="6">
        <f t="shared" si="46"/>
        <v>3008.2464000000004</v>
      </c>
      <c r="G72" s="6">
        <f t="shared" si="46"/>
        <v>2649.0528000000004</v>
      </c>
      <c r="H72" s="6">
        <f t="shared" si="46"/>
        <v>2985.7968000000005</v>
      </c>
      <c r="I72" s="6">
        <f t="shared" si="46"/>
        <v>3659.2848000000004</v>
      </c>
      <c r="J72" s="6">
        <f t="shared" si="46"/>
        <v>3356.2152000000006</v>
      </c>
      <c r="K72" s="6">
        <f t="shared" si="46"/>
        <v>3266.4168000000004</v>
      </c>
      <c r="L72" s="6">
        <f t="shared" si="46"/>
        <v>2132.7120000000004</v>
      </c>
      <c r="M72" s="6">
        <f t="shared" si="46"/>
        <v>1728.6192000000003</v>
      </c>
      <c r="N72" s="6">
        <f t="shared" si="46"/>
        <v>2020.4640000000002</v>
      </c>
      <c r="O72" s="6">
        <f t="shared" si="46"/>
        <v>1593.9216000000001</v>
      </c>
      <c r="P72" s="6">
        <f t="shared" si="46"/>
        <v>1279.6272000000001</v>
      </c>
      <c r="Q72" s="47"/>
      <c r="R72" s="47">
        <f t="shared" si="45"/>
        <v>30419.208000000002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416.79359999999997</v>
      </c>
      <c r="F73" s="6">
        <f t="shared" si="47"/>
        <v>416.79359999999997</v>
      </c>
      <c r="G73" s="6">
        <f t="shared" si="47"/>
        <v>335.75039999999996</v>
      </c>
      <c r="H73" s="6">
        <f t="shared" si="47"/>
        <v>393.6384</v>
      </c>
      <c r="I73" s="6">
        <f t="shared" si="47"/>
        <v>399.4272</v>
      </c>
      <c r="J73" s="6">
        <f t="shared" si="47"/>
        <v>480.47040000000004</v>
      </c>
      <c r="K73" s="6">
        <f t="shared" si="47"/>
        <v>480.47040000000004</v>
      </c>
      <c r="L73" s="6">
        <f t="shared" si="47"/>
        <v>0</v>
      </c>
      <c r="M73" s="6">
        <f t="shared" si="47"/>
        <v>254.7072</v>
      </c>
      <c r="N73" s="6">
        <f t="shared" si="47"/>
        <v>312.59520000000003</v>
      </c>
      <c r="O73" s="6">
        <f t="shared" si="47"/>
        <v>306.8064</v>
      </c>
      <c r="P73" s="6">
        <f t="shared" si="47"/>
        <v>231.552</v>
      </c>
      <c r="Q73" s="47"/>
      <c r="R73" s="47">
        <f t="shared" si="45"/>
        <v>4029.0048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79.684544</v>
      </c>
      <c r="F75" s="6">
        <f t="shared" si="49"/>
        <v>87.522368</v>
      </c>
      <c r="G75" s="6">
        <f t="shared" si="49"/>
        <v>77.07193600000001</v>
      </c>
      <c r="H75" s="6">
        <f t="shared" si="49"/>
        <v>86.86921600000001</v>
      </c>
      <c r="I75" s="6">
        <f t="shared" si="49"/>
        <v>106.46377600000001</v>
      </c>
      <c r="J75" s="6">
        <f t="shared" si="49"/>
        <v>97.646224</v>
      </c>
      <c r="K75" s="6">
        <f t="shared" si="49"/>
        <v>95.03361600000001</v>
      </c>
      <c r="L75" s="6">
        <f t="shared" si="49"/>
        <v>62.049440000000004</v>
      </c>
      <c r="M75" s="6">
        <f t="shared" si="49"/>
        <v>50.292704</v>
      </c>
      <c r="N75" s="6">
        <f t="shared" si="49"/>
        <v>58.783680000000004</v>
      </c>
      <c r="O75" s="6">
        <f t="shared" si="49"/>
        <v>46.373792</v>
      </c>
      <c r="P75" s="6">
        <f t="shared" si="49"/>
        <v>37.229664</v>
      </c>
      <c r="Q75" s="47"/>
      <c r="R75" s="47">
        <f t="shared" si="45"/>
        <v>885.02096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38.49343999999999</v>
      </c>
      <c r="F76" s="6">
        <f t="shared" si="50"/>
        <v>42.27968</v>
      </c>
      <c r="G76" s="6">
        <f t="shared" si="50"/>
        <v>37.231359999999995</v>
      </c>
      <c r="H76" s="6">
        <f t="shared" si="50"/>
        <v>41.96415999999999</v>
      </c>
      <c r="I76" s="6">
        <f t="shared" si="50"/>
        <v>51.429759999999995</v>
      </c>
      <c r="J76" s="6">
        <f t="shared" si="50"/>
        <v>47.17023999999999</v>
      </c>
      <c r="K76" s="6">
        <f t="shared" si="50"/>
        <v>45.908159999999995</v>
      </c>
      <c r="L76" s="6">
        <f t="shared" si="50"/>
        <v>29.974399999999996</v>
      </c>
      <c r="M76" s="6">
        <f t="shared" si="50"/>
        <v>24.295039999999997</v>
      </c>
      <c r="N76" s="6">
        <f t="shared" si="50"/>
        <v>28.396799999999995</v>
      </c>
      <c r="O76" s="6">
        <f t="shared" si="50"/>
        <v>22.401919999999997</v>
      </c>
      <c r="P76" s="6">
        <f t="shared" si="50"/>
        <v>17.98464</v>
      </c>
      <c r="Q76" s="47"/>
      <c r="R76" s="47">
        <f t="shared" si="45"/>
        <v>427.52959999999996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46.14528000000001</v>
      </c>
      <c r="F77" s="6">
        <f aca="true" t="shared" si="51" ref="F77:P77">$D77*F$7</f>
        <v>50.684160000000006</v>
      </c>
      <c r="G77" s="6">
        <f t="shared" si="51"/>
        <v>44.63232000000001</v>
      </c>
      <c r="H77" s="6">
        <f t="shared" si="51"/>
        <v>50.30592000000001</v>
      </c>
      <c r="I77" s="6">
        <f t="shared" si="51"/>
        <v>61.65312000000001</v>
      </c>
      <c r="J77" s="6">
        <f t="shared" si="51"/>
        <v>56.54688000000001</v>
      </c>
      <c r="K77" s="6">
        <f t="shared" si="51"/>
        <v>55.03392</v>
      </c>
      <c r="L77" s="6">
        <f t="shared" si="51"/>
        <v>35.9328</v>
      </c>
      <c r="M77" s="6">
        <f t="shared" si="51"/>
        <v>29.124480000000002</v>
      </c>
      <c r="N77" s="6">
        <f t="shared" si="51"/>
        <v>34.0416</v>
      </c>
      <c r="O77" s="6">
        <f t="shared" si="51"/>
        <v>26.855040000000002</v>
      </c>
      <c r="P77" s="6">
        <f t="shared" si="51"/>
        <v>21.559680000000004</v>
      </c>
      <c r="Q77" s="47"/>
      <c r="R77" s="47">
        <f t="shared" si="45"/>
        <v>512.5152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54.2656</v>
      </c>
      <c r="F80" s="6">
        <f t="shared" si="54"/>
        <v>59.6032</v>
      </c>
      <c r="G80" s="6">
        <f t="shared" si="54"/>
        <v>52.486399999999996</v>
      </c>
      <c r="H80" s="6">
        <f t="shared" si="54"/>
        <v>59.1584</v>
      </c>
      <c r="I80" s="6">
        <f t="shared" si="54"/>
        <v>72.5024</v>
      </c>
      <c r="J80" s="6">
        <f t="shared" si="54"/>
        <v>66.49759999999999</v>
      </c>
      <c r="K80" s="6">
        <f t="shared" si="54"/>
        <v>64.7184</v>
      </c>
      <c r="L80" s="6">
        <f t="shared" si="54"/>
        <v>42.256</v>
      </c>
      <c r="M80" s="6">
        <f t="shared" si="54"/>
        <v>34.2496</v>
      </c>
      <c r="N80" s="6">
        <f t="shared" si="54"/>
        <v>40.032</v>
      </c>
      <c r="O80" s="6">
        <f t="shared" si="54"/>
        <v>31.5808</v>
      </c>
      <c r="P80" s="6">
        <f t="shared" si="54"/>
        <v>25.3536</v>
      </c>
      <c r="Q80" s="47"/>
      <c r="R80" s="47">
        <f t="shared" si="45"/>
        <v>602.704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51.84</v>
      </c>
      <c r="F81" s="6">
        <f t="shared" si="55"/>
        <v>51.84</v>
      </c>
      <c r="G81" s="6">
        <f t="shared" si="55"/>
        <v>41.76</v>
      </c>
      <c r="H81" s="6">
        <f t="shared" si="55"/>
        <v>48.96</v>
      </c>
      <c r="I81" s="6">
        <f t="shared" si="55"/>
        <v>49.68000000000001</v>
      </c>
      <c r="J81" s="6">
        <f t="shared" si="55"/>
        <v>59.760000000000005</v>
      </c>
      <c r="K81" s="6">
        <f t="shared" si="55"/>
        <v>59.760000000000005</v>
      </c>
      <c r="L81" s="6">
        <f t="shared" si="55"/>
        <v>0</v>
      </c>
      <c r="M81" s="6">
        <f t="shared" si="55"/>
        <v>31.680000000000003</v>
      </c>
      <c r="N81" s="6">
        <f t="shared" si="55"/>
        <v>38.88</v>
      </c>
      <c r="O81" s="6">
        <f t="shared" si="55"/>
        <v>38.16</v>
      </c>
      <c r="P81" s="6">
        <f t="shared" si="55"/>
        <v>28.8</v>
      </c>
      <c r="Q81" s="47"/>
      <c r="R81" s="47">
        <f t="shared" si="45"/>
        <v>501.12000000000006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144.70366596664007</v>
      </c>
      <c r="F82" s="6">
        <f t="shared" si="56"/>
        <v>155.54346357688001</v>
      </c>
      <c r="G82" s="6">
        <f t="shared" si="56"/>
        <v>135.41369810616</v>
      </c>
      <c r="H82" s="6">
        <f t="shared" si="56"/>
        <v>153.01823225496003</v>
      </c>
      <c r="I82" s="6">
        <f t="shared" si="56"/>
        <v>180.52320499416</v>
      </c>
      <c r="J82" s="6">
        <f t="shared" si="56"/>
        <v>174.00513467304003</v>
      </c>
      <c r="K82" s="6">
        <f t="shared" si="56"/>
        <v>170.39186880296006</v>
      </c>
      <c r="L82" s="6">
        <f t="shared" si="56"/>
        <v>91.11965396440002</v>
      </c>
      <c r="M82" s="6">
        <f t="shared" si="56"/>
        <v>92.70102094744001</v>
      </c>
      <c r="N82" s="6">
        <f t="shared" si="56"/>
        <v>108.49892216120003</v>
      </c>
      <c r="O82" s="6">
        <f t="shared" si="56"/>
        <v>90.93043056472001</v>
      </c>
      <c r="P82" s="6">
        <f t="shared" si="56"/>
        <v>73.01277674263999</v>
      </c>
      <c r="Q82" s="47"/>
      <c r="R82" s="47">
        <f t="shared" si="45"/>
        <v>1569.8620727552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227.69742144424015</v>
      </c>
      <c r="F83" s="6">
        <f t="shared" si="57"/>
        <v>244.75430765608002</v>
      </c>
      <c r="G83" s="6">
        <f t="shared" si="57"/>
        <v>213.07925878056002</v>
      </c>
      <c r="H83" s="6">
        <f t="shared" si="57"/>
        <v>240.78074792136005</v>
      </c>
      <c r="I83" s="6">
        <f t="shared" si="57"/>
        <v>284.06100158856003</v>
      </c>
      <c r="J83" s="6">
        <f t="shared" si="57"/>
        <v>273.80453852664004</v>
      </c>
      <c r="K83" s="6">
        <f t="shared" si="57"/>
        <v>268.11890978936015</v>
      </c>
      <c r="L83" s="6">
        <f t="shared" si="57"/>
        <v>143.38068156040003</v>
      </c>
      <c r="M83" s="6">
        <f t="shared" si="57"/>
        <v>145.86903029704004</v>
      </c>
      <c r="N83" s="6">
        <f t="shared" si="57"/>
        <v>170.72770506920006</v>
      </c>
      <c r="O83" s="6">
        <f t="shared" si="57"/>
        <v>143.08293042952005</v>
      </c>
      <c r="P83" s="6">
        <f t="shared" si="57"/>
        <v>114.88873406024</v>
      </c>
      <c r="R83" s="47">
        <f t="shared" si="45"/>
        <v>2470.245267123201</v>
      </c>
      <c r="S83" s="20"/>
    </row>
    <row r="84" spans="1:18" ht="15.75" thickBot="1">
      <c r="A84" s="40"/>
      <c r="D84" s="9" t="s">
        <v>24</v>
      </c>
      <c r="E84" s="52">
        <f>SUM(E71:E83)</f>
        <v>3883.624751410882</v>
      </c>
      <c r="F84" s="52">
        <f aca="true" t="shared" si="58" ref="F84:P84">SUM(F71:F83)</f>
        <v>4202.417179232961</v>
      </c>
      <c r="G84" s="52">
        <f t="shared" si="58"/>
        <v>3671.6281728867207</v>
      </c>
      <c r="H84" s="52">
        <f t="shared" si="58"/>
        <v>4145.64187617632</v>
      </c>
      <c r="I84" s="52">
        <f t="shared" si="58"/>
        <v>4950.17526258272</v>
      </c>
      <c r="J84" s="52">
        <f t="shared" si="58"/>
        <v>4697.26621719968</v>
      </c>
      <c r="K84" s="52">
        <f t="shared" si="58"/>
        <v>4591.002074592321</v>
      </c>
      <c r="L84" s="52">
        <f t="shared" si="58"/>
        <v>2622.5749755248007</v>
      </c>
      <c r="M84" s="52">
        <f t="shared" si="58"/>
        <v>2476.6882752444803</v>
      </c>
      <c r="N84" s="52">
        <f t="shared" si="58"/>
        <v>2897.5699072304005</v>
      </c>
      <c r="O84" s="52">
        <f t="shared" si="58"/>
        <v>2385.2629129942407</v>
      </c>
      <c r="P84" s="52">
        <f t="shared" si="58"/>
        <v>1915.15829480288</v>
      </c>
      <c r="Q84" s="53"/>
      <c r="R84" s="54">
        <f>SUM(E84:P84)</f>
        <v>42439.00989987841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rowBreaks count="1" manualBreakCount="1">
    <brk id="5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19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105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86500</v>
      </c>
      <c r="F7" s="75">
        <v>99000</v>
      </c>
      <c r="G7" s="75">
        <v>81000</v>
      </c>
      <c r="H7" s="75">
        <v>59500</v>
      </c>
      <c r="I7" s="75">
        <v>69000</v>
      </c>
      <c r="J7" s="75">
        <v>62500</v>
      </c>
      <c r="K7" s="75">
        <v>54000</v>
      </c>
      <c r="L7" s="75">
        <v>56500</v>
      </c>
      <c r="M7" s="75">
        <v>60000</v>
      </c>
      <c r="N7" s="75">
        <v>90500</v>
      </c>
      <c r="O7" s="75">
        <v>92000</v>
      </c>
      <c r="P7" s="75">
        <v>98500</v>
      </c>
      <c r="R7" s="4">
        <f>SUM(E7:P7)</f>
        <v>909000</v>
      </c>
      <c r="S7" s="15">
        <f>R7/(8760*MAX(E10:P10))</f>
        <v>0.34022007635302043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305</v>
      </c>
      <c r="C10" s="34"/>
      <c r="D10" s="10" t="s">
        <v>5</v>
      </c>
      <c r="E10" s="76">
        <v>265</v>
      </c>
      <c r="F10" s="76">
        <v>285</v>
      </c>
      <c r="G10" s="76">
        <v>260</v>
      </c>
      <c r="H10" s="76">
        <v>240</v>
      </c>
      <c r="I10" s="76">
        <v>245</v>
      </c>
      <c r="J10" s="76">
        <v>240</v>
      </c>
      <c r="K10" s="76">
        <v>235</v>
      </c>
      <c r="L10" s="76">
        <v>230</v>
      </c>
      <c r="M10" s="76">
        <v>305</v>
      </c>
      <c r="N10" s="76">
        <v>275</v>
      </c>
      <c r="O10" s="76">
        <v>275</v>
      </c>
      <c r="P10" s="76">
        <v>185</v>
      </c>
      <c r="R10" s="4">
        <f>SUM(E10:P10)</f>
        <v>3040</v>
      </c>
      <c r="W10" s="15" t="s">
        <v>46</v>
      </c>
      <c r="X10" s="20"/>
    </row>
    <row r="11" spans="2:24" ht="15">
      <c r="B11" s="34">
        <f>MAX(E11:P11)</f>
        <v>305</v>
      </c>
      <c r="C11" s="34"/>
      <c r="D11" s="10" t="s">
        <v>6</v>
      </c>
      <c r="E11" s="76">
        <v>265</v>
      </c>
      <c r="F11" s="76">
        <v>285</v>
      </c>
      <c r="G11" s="76">
        <v>260</v>
      </c>
      <c r="H11" s="76">
        <v>240</v>
      </c>
      <c r="I11" s="76">
        <v>245</v>
      </c>
      <c r="J11" s="76">
        <v>240</v>
      </c>
      <c r="K11" s="76">
        <v>235</v>
      </c>
      <c r="L11" s="76">
        <v>230</v>
      </c>
      <c r="M11" s="76">
        <v>305</v>
      </c>
      <c r="N11" s="76">
        <v>275</v>
      </c>
      <c r="O11" s="76">
        <v>275</v>
      </c>
      <c r="P11" s="76">
        <v>185</v>
      </c>
      <c r="R11" s="4">
        <f>SUM(E11:P11)</f>
        <v>3040</v>
      </c>
      <c r="W11" s="15" t="s">
        <v>47</v>
      </c>
      <c r="X11" s="20"/>
    </row>
    <row r="12" spans="2:24" ht="15">
      <c r="B12" s="34">
        <f>MAX(E12:P12)</f>
        <v>305</v>
      </c>
      <c r="C12" s="34"/>
      <c r="D12" s="10" t="s">
        <v>7</v>
      </c>
      <c r="E12" s="76">
        <v>265</v>
      </c>
      <c r="F12" s="76">
        <v>285</v>
      </c>
      <c r="G12" s="76">
        <v>260</v>
      </c>
      <c r="H12" s="76">
        <v>240</v>
      </c>
      <c r="I12" s="76">
        <v>245</v>
      </c>
      <c r="J12" s="76">
        <v>240</v>
      </c>
      <c r="K12" s="76">
        <v>235</v>
      </c>
      <c r="L12" s="76">
        <v>230</v>
      </c>
      <c r="M12" s="76">
        <v>305</v>
      </c>
      <c r="N12" s="76">
        <v>275</v>
      </c>
      <c r="O12" s="76">
        <v>275</v>
      </c>
      <c r="P12" s="76">
        <v>185</v>
      </c>
      <c r="R12" s="4">
        <f>SUM(E12:P12)</f>
        <v>3040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Current</v>
      </c>
      <c r="D15" s="45" t="s">
        <v>40</v>
      </c>
      <c r="E15" s="25">
        <f>IF($D$15="Rate 1",E32,IF($D$15="Rate 2",E46,IF($D$15="Rate 3",#REF!,IF($D$15="Rate 4",#REF!,IF($D$15="Rate 5",E67,IF($D$15="Rate 6",E84,IF($D$15="Rate 7",#REF!,IF($D$15="Rate 8",#REF!))))))))</f>
        <v>0</v>
      </c>
      <c r="F15" s="25">
        <f>IF($D$15="Rate 1",F32,IF($D$15="Rate 2",F46,IF($D$15="Rate 3",#REF!,IF($D$15="Rate 4",#REF!,IF($D$15="Rate 5",F67,IF($D$15="Rate 6",F84,IF($D$15="Rate 7",#REF!,IF($D$15="Rate 8",#REF!))))))))</f>
        <v>0</v>
      </c>
      <c r="G15" s="25">
        <f>IF($D$15="Rate 1",G32,IF($D$15="Rate 2",G46,IF($D$15="Rate 3",#REF!,IF($D$15="Rate 4",#REF!,IF($D$15="Rate 5",G67,IF($D$15="Rate 6",G84,IF($D$15="Rate 7",#REF!,IF($D$15="Rate 8",#REF!))))))))</f>
        <v>0</v>
      </c>
      <c r="H15" s="25">
        <f>IF($D$15="Rate 1",H32,IF($D$15="Rate 2",H46,IF($D$15="Rate 3",#REF!,IF($D$15="Rate 4",#REF!,IF($D$15="Rate 5",H67,IF($D$15="Rate 6",H84,IF($D$15="Rate 7",#REF!,IF($D$15="Rate 8",#REF!))))))))</f>
        <v>0</v>
      </c>
      <c r="I15" s="25">
        <f>IF($D$15="Rate 1",I32,IF($D$15="Rate 2",I46,IF($D$15="Rate 3",#REF!,IF($D$15="Rate 4",#REF!,IF($D$15="Rate 5",I67,IF($D$15="Rate 6",I84,IF($D$15="Rate 7",#REF!,IF($D$15="Rate 8",#REF!))))))))</f>
        <v>0</v>
      </c>
      <c r="J15" s="25">
        <f>IF($D$15="Rate 1",J32,IF($D$15="Rate 2",J46,IF($D$15="Rate 3",#REF!,IF($D$15="Rate 4",#REF!,IF($D$15="Rate 5",J67,IF($D$15="Rate 6",J84,IF($D$15="Rate 7",#REF!,IF($D$15="Rate 8",#REF!))))))))</f>
        <v>0</v>
      </c>
      <c r="K15" s="25">
        <f>IF($D$15="Rate 1",K32,IF($D$15="Rate 2",K46,IF($D$15="Rate 3",#REF!,IF($D$15="Rate 4",#REF!,IF($D$15="Rate 5",K67,IF($D$15="Rate 6",K84,IF($D$15="Rate 7",#REF!,IF($D$15="Rate 8",#REF!))))))))</f>
        <v>0</v>
      </c>
      <c r="L15" s="25">
        <f>IF($D$15="Rate 1",L32,IF($D$15="Rate 2",L46,IF($D$15="Rate 3",#REF!,IF($D$15="Rate 4",#REF!,IF($D$15="Rate 5",L67,IF($D$15="Rate 6",L84,IF($D$15="Rate 7",#REF!,IF($D$15="Rate 8",#REF!))))))))</f>
        <v>0</v>
      </c>
      <c r="M15" s="25">
        <f>IF($D$15="Rate 1",M32,IF($D$15="Rate 2",M46,IF($D$15="Rate 3",#REF!,IF($D$15="Rate 4",#REF!,IF($D$15="Rate 5",M67,IF($D$15="Rate 6",M84,IF($D$15="Rate 7",#REF!,IF($D$15="Rate 8",#REF!))))))))</f>
        <v>0</v>
      </c>
      <c r="N15" s="25">
        <f>IF($D$15="Rate 1",N32,IF($D$15="Rate 2",N46,IF($D$15="Rate 3",#REF!,IF($D$15="Rate 4",#REF!,IF($D$15="Rate 5",N67,IF($D$15="Rate 6",N84,IF($D$15="Rate 7",#REF!,IF($D$15="Rate 8",#REF!))))))))</f>
        <v>0</v>
      </c>
      <c r="O15" s="25">
        <f>IF($D$15="Rate 1",O32,IF($D$15="Rate 2",O46,IF($D$15="Rate 3",#REF!,IF($D$15="Rate 4",#REF!,IF($D$15="Rate 5",O67,IF($D$15="Rate 6",O84,IF($D$15="Rate 7",#REF!,IF($D$15="Rate 8",#REF!))))))))</f>
        <v>0</v>
      </c>
      <c r="P15" s="25">
        <f>IF($D$15="Rate 1",P32,IF($D$15="Rate 2",P46,IF($D$15="Rate 3",#REF!,IF($D$15="Rate 4",#REF!,IF($D$15="Rate 5",P67,IF($D$15="Rate 6",P84,IF($D$15="Rate 7",#REF!,IF($D$15="Rate 8",#REF!))))))))</f>
        <v>0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0</v>
      </c>
      <c r="X15" s="20"/>
    </row>
    <row r="16" spans="1:24" ht="15" customHeight="1" thickBot="1">
      <c r="A16" s="85"/>
      <c r="B16" s="24" t="s">
        <v>28</v>
      </c>
      <c r="C16" s="44">
        <f>IF($D$16="Rate 1",B21,IF($D$16="Rate 2",B34,IF($D$16="Rate 3",B49,IF($D$16="Rate 4",#REF!,IF($D$16="Rate 5",B54,IF($D$16="Rate 6",B70,IF($D$16="Rate 7",#REF!,IF($D$16="Rate 8",#REF!))))))))</f>
        <v>0</v>
      </c>
      <c r="D16" s="45" t="s">
        <v>41</v>
      </c>
      <c r="E16" s="26">
        <f>IF($D$16="Rate 1",E32,IF($D$16="Rate 2",E46,IF($D$16="Rate 3",#REF!,IF($D$16="Rate 4",#REF!,IF($D$16="Rate 5",E67,IF($D$16="Rate 6",E84,IF($D$16="Rate 7",#REF!,IF($D$16="Rate 8",#REF!))))))))</f>
        <v>0</v>
      </c>
      <c r="F16" s="26">
        <f>IF($D$16="Rate 1",F32,IF($D$16="Rate 2",F46,IF($D$16="Rate 3",#REF!,IF($D$16="Rate 4",#REF!,IF($D$16="Rate 5",F67,IF($D$16="Rate 6",F84,IF($D$16="Rate 7",#REF!,IF($D$16="Rate 8",#REF!))))))))</f>
        <v>0</v>
      </c>
      <c r="G16" s="26">
        <f>IF($D$16="Rate 1",G32,IF($D$16="Rate 2",G46,IF($D$16="Rate 3",#REF!,IF($D$16="Rate 4",#REF!,IF($D$16="Rate 5",G67,IF($D$16="Rate 6",G84,IF($D$16="Rate 7",#REF!,IF($D$16="Rate 8",#REF!))))))))</f>
        <v>0</v>
      </c>
      <c r="H16" s="26">
        <f>IF($D$16="Rate 1",H32,IF($D$16="Rate 2",H46,IF($D$16="Rate 3",#REF!,IF($D$16="Rate 4",#REF!,IF($D$16="Rate 5",H67,IF($D$16="Rate 6",H84,IF($D$16="Rate 7",#REF!,IF($D$16="Rate 8",#REF!))))))))</f>
        <v>0</v>
      </c>
      <c r="I16" s="26">
        <f>IF($D$16="Rate 1",I32,IF($D$16="Rate 2",I46,IF($D$16="Rate 3",#REF!,IF($D$16="Rate 4",#REF!,IF($D$16="Rate 5",I67,IF($D$16="Rate 6",I84,IF($D$16="Rate 7",#REF!,IF($D$16="Rate 8",#REF!))))))))</f>
        <v>0</v>
      </c>
      <c r="J16" s="26">
        <f>IF($D$16="Rate 1",J32,IF($D$16="Rate 2",J46,IF($D$16="Rate 3",#REF!,IF($D$16="Rate 4",#REF!,IF($D$16="Rate 5",J67,IF($D$16="Rate 6",J84,IF($D$16="Rate 7",#REF!,IF($D$16="Rate 8",#REF!))))))))</f>
        <v>0</v>
      </c>
      <c r="K16" s="26">
        <f>IF($D$16="Rate 1",K32,IF($D$16="Rate 2",K46,IF($D$16="Rate 3",#REF!,IF($D$16="Rate 4",#REF!,IF($D$16="Rate 5",K67,IF($D$16="Rate 6",K84,IF($D$16="Rate 7",#REF!,IF($D$16="Rate 8",#REF!))))))))</f>
        <v>0</v>
      </c>
      <c r="L16" s="26">
        <f>IF($D$16="Rate 1",L32,IF($D$16="Rate 2",L46,IF($D$16="Rate 3",#REF!,IF($D$16="Rate 4",#REF!,IF($D$16="Rate 5",L67,IF($D$16="Rate 6",L84,IF($D$16="Rate 7",#REF!,IF($D$16="Rate 8",#REF!))))))))</f>
        <v>0</v>
      </c>
      <c r="M16" s="26">
        <f>IF($D$16="Rate 1",M32,IF($D$16="Rate 2",M46,IF($D$16="Rate 3",#REF!,IF($D$16="Rate 4",#REF!,IF($D$16="Rate 5",M67,IF($D$16="Rate 6",M84,IF($D$16="Rate 7",#REF!,IF($D$16="Rate 8",#REF!))))))))</f>
        <v>0</v>
      </c>
      <c r="N16" s="26">
        <f>IF($D$16="Rate 1",N32,IF($D$16="Rate 2",N46,IF($D$16="Rate 3",#REF!,IF($D$16="Rate 4",#REF!,IF($D$16="Rate 5",N67,IF($D$16="Rate 6",N84,IF($D$16="Rate 7",#REF!,IF($D$16="Rate 8",#REF!))))))))</f>
        <v>0</v>
      </c>
      <c r="O16" s="26">
        <f>IF($D$16="Rate 1",O32,IF($D$16="Rate 2",O46,IF($D$16="Rate 3",#REF!,IF($D$16="Rate 4",#REF!,IF($D$16="Rate 5",O67,IF($D$16="Rate 6",O84,IF($D$16="Rate 7",#REF!,IF($D$16="Rate 8",#REF!))))))))</f>
        <v>0</v>
      </c>
      <c r="P16" s="26">
        <f>IF($D$16="Rate 1",P32,IF($D$16="Rate 2",P46,IF($D$16="Rate 3",#REF!,IF($D$16="Rate 4",#REF!,IF($D$16="Rate 5",P67,IF($D$16="Rate 6",P84,IF($D$16="Rate 7",#REF!,IF($D$16="Rate 8",#REF!))))))))</f>
        <v>0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0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0</v>
      </c>
      <c r="F17" s="28">
        <f aca="true" t="shared" si="0" ref="F17:R17">F15-F16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0</v>
      </c>
      <c r="P17" s="29">
        <f t="shared" si="0"/>
        <v>0</v>
      </c>
      <c r="Q17" s="16"/>
      <c r="R17" s="28">
        <f t="shared" si="0"/>
        <v>0</v>
      </c>
      <c r="X17" s="20"/>
    </row>
    <row r="18" spans="2:24" ht="15" customHeight="1" thickBot="1">
      <c r="B18" s="13"/>
      <c r="C18" s="13"/>
      <c r="R18" s="64" t="e">
        <f>R17/R15</f>
        <v>#DIV/0!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6742.675</v>
      </c>
      <c r="F56" s="6">
        <f t="shared" si="32"/>
        <v>7717.05</v>
      </c>
      <c r="G56" s="6">
        <f t="shared" si="32"/>
        <v>6313.950000000001</v>
      </c>
      <c r="H56" s="6">
        <f t="shared" si="32"/>
        <v>4638.025000000001</v>
      </c>
      <c r="I56" s="6">
        <f t="shared" si="32"/>
        <v>5378.55</v>
      </c>
      <c r="J56" s="6">
        <f t="shared" si="32"/>
        <v>4871.875</v>
      </c>
      <c r="K56" s="6">
        <f t="shared" si="32"/>
        <v>4209.3</v>
      </c>
      <c r="L56" s="6">
        <f t="shared" si="32"/>
        <v>4404.175</v>
      </c>
      <c r="M56" s="6">
        <f t="shared" si="32"/>
        <v>4677</v>
      </c>
      <c r="N56" s="6">
        <f t="shared" si="32"/>
        <v>7054.475</v>
      </c>
      <c r="O56" s="6">
        <f t="shared" si="32"/>
        <v>7171.400000000001</v>
      </c>
      <c r="P56" s="6">
        <f t="shared" si="32"/>
        <v>7678.075000000001</v>
      </c>
      <c r="Q56" s="47"/>
      <c r="R56" s="47">
        <f t="shared" si="31"/>
        <v>70856.55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1065.3</v>
      </c>
      <c r="F57" s="6">
        <f t="shared" si="33"/>
        <v>1145.6999999999998</v>
      </c>
      <c r="G57" s="6">
        <f t="shared" si="33"/>
        <v>1045.1999999999998</v>
      </c>
      <c r="H57" s="6">
        <f t="shared" si="33"/>
        <v>964.8</v>
      </c>
      <c r="I57" s="6">
        <f t="shared" si="33"/>
        <v>984.8999999999999</v>
      </c>
      <c r="J57" s="6">
        <f t="shared" si="33"/>
        <v>964.8</v>
      </c>
      <c r="K57" s="6">
        <f t="shared" si="33"/>
        <v>944.6999999999999</v>
      </c>
      <c r="L57" s="6">
        <f t="shared" si="33"/>
        <v>924.5999999999999</v>
      </c>
      <c r="M57" s="6">
        <f t="shared" si="33"/>
        <v>1226.1</v>
      </c>
      <c r="N57" s="6">
        <f t="shared" si="33"/>
        <v>1105.4999999999998</v>
      </c>
      <c r="O57" s="6">
        <f t="shared" si="33"/>
        <v>1105.4999999999998</v>
      </c>
      <c r="P57" s="6">
        <f t="shared" si="33"/>
        <v>743.6999999999999</v>
      </c>
      <c r="Q57" s="47"/>
      <c r="R57" s="47">
        <f t="shared" si="31"/>
        <v>12220.800000000001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85.28899999999999</v>
      </c>
      <c r="F59" s="6">
        <f t="shared" si="35"/>
        <v>97.61399999999999</v>
      </c>
      <c r="G59" s="6">
        <f t="shared" si="35"/>
        <v>79.86599999999999</v>
      </c>
      <c r="H59" s="6">
        <f t="shared" si="35"/>
        <v>58.666999999999994</v>
      </c>
      <c r="I59" s="6">
        <f t="shared" si="35"/>
        <v>68.03399999999999</v>
      </c>
      <c r="J59" s="6">
        <f t="shared" si="35"/>
        <v>61.62499999999999</v>
      </c>
      <c r="K59" s="6">
        <f t="shared" si="35"/>
        <v>53.24399999999999</v>
      </c>
      <c r="L59" s="6">
        <f t="shared" si="35"/>
        <v>55.708999999999996</v>
      </c>
      <c r="M59" s="6">
        <f t="shared" si="35"/>
        <v>59.16</v>
      </c>
      <c r="N59" s="6">
        <f t="shared" si="35"/>
        <v>89.23299999999999</v>
      </c>
      <c r="O59" s="6">
        <f t="shared" si="35"/>
        <v>90.71199999999999</v>
      </c>
      <c r="P59" s="6">
        <f t="shared" si="35"/>
        <v>97.121</v>
      </c>
      <c r="Q59" s="47"/>
      <c r="R59" s="47">
        <f t="shared" si="31"/>
        <v>896.2739999999998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176.55515</v>
      </c>
      <c r="F60" s="6">
        <f t="shared" si="36"/>
        <v>202.0689</v>
      </c>
      <c r="G60" s="6">
        <f t="shared" si="36"/>
        <v>165.3291</v>
      </c>
      <c r="H60" s="6">
        <f t="shared" si="36"/>
        <v>121.44545000000001</v>
      </c>
      <c r="I60" s="6">
        <f t="shared" si="36"/>
        <v>140.8359</v>
      </c>
      <c r="J60" s="6">
        <f t="shared" si="36"/>
        <v>127.56875000000001</v>
      </c>
      <c r="K60" s="6">
        <f t="shared" si="36"/>
        <v>110.21940000000001</v>
      </c>
      <c r="L60" s="6">
        <f t="shared" si="36"/>
        <v>115.32215000000001</v>
      </c>
      <c r="M60" s="6">
        <f t="shared" si="36"/>
        <v>122.46600000000001</v>
      </c>
      <c r="N60" s="6">
        <f t="shared" si="36"/>
        <v>184.71955</v>
      </c>
      <c r="O60" s="6">
        <f t="shared" si="36"/>
        <v>187.7812</v>
      </c>
      <c r="P60" s="6">
        <f t="shared" si="36"/>
        <v>201.04835</v>
      </c>
      <c r="Q60" s="47"/>
      <c r="R60" s="47">
        <f t="shared" si="31"/>
        <v>1855.3599000000004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83.905</v>
      </c>
      <c r="F61" s="6">
        <f aca="true" t="shared" si="37" ref="F61:P61">$D61*F$7</f>
        <v>96.03</v>
      </c>
      <c r="G61" s="6">
        <f t="shared" si="37"/>
        <v>78.57000000000001</v>
      </c>
      <c r="H61" s="6">
        <f t="shared" si="37"/>
        <v>57.715</v>
      </c>
      <c r="I61" s="6">
        <f t="shared" si="37"/>
        <v>66.93</v>
      </c>
      <c r="J61" s="6">
        <f t="shared" si="37"/>
        <v>60.625</v>
      </c>
      <c r="K61" s="6">
        <f t="shared" si="37"/>
        <v>52.38</v>
      </c>
      <c r="L61" s="6">
        <f t="shared" si="37"/>
        <v>54.805</v>
      </c>
      <c r="M61" s="6">
        <f t="shared" si="37"/>
        <v>58.2</v>
      </c>
      <c r="N61" s="6">
        <f t="shared" si="37"/>
        <v>87.78500000000001</v>
      </c>
      <c r="O61" s="6">
        <f t="shared" si="37"/>
        <v>89.24000000000001</v>
      </c>
      <c r="P61" s="6">
        <f t="shared" si="37"/>
        <v>95.545</v>
      </c>
      <c r="Q61" s="47"/>
      <c r="R61" s="47">
        <f t="shared" si="31"/>
        <v>881.73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832.1467180499999</v>
      </c>
      <c r="F62" s="6">
        <f aca="true" t="shared" si="38" ref="F62:P62">(SUM(F55:F61)-($D60+$C60)*F$7)*$D62</f>
        <v>939.6579193</v>
      </c>
      <c r="G62" s="6">
        <f t="shared" si="38"/>
        <v>787.1095117</v>
      </c>
      <c r="H62" s="6">
        <f t="shared" si="38"/>
        <v>610.7837191500001</v>
      </c>
      <c r="I62" s="6">
        <f t="shared" si="38"/>
        <v>686.4051883000001</v>
      </c>
      <c r="J62" s="6">
        <f t="shared" si="38"/>
        <v>633.72191625</v>
      </c>
      <c r="K62" s="6">
        <f t="shared" si="38"/>
        <v>565.7465127999999</v>
      </c>
      <c r="L62" s="6">
        <f t="shared" si="38"/>
        <v>581.8778320499999</v>
      </c>
      <c r="M62" s="6">
        <f t="shared" si="38"/>
        <v>653.396737</v>
      </c>
      <c r="N62" s="6">
        <f t="shared" si="38"/>
        <v>868.69867085</v>
      </c>
      <c r="O62" s="6">
        <f t="shared" si="38"/>
        <v>880.1677693999997</v>
      </c>
      <c r="P62" s="6">
        <f t="shared" si="38"/>
        <v>876.1579864499998</v>
      </c>
      <c r="Q62" s="47"/>
      <c r="R62" s="47">
        <f t="shared" si="31"/>
        <v>8915.8704813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9070.87086805</v>
      </c>
      <c r="F67" s="52">
        <f aca="true" t="shared" si="43" ref="F67:P67">SUM(F55:F66)</f>
        <v>10283.1208193</v>
      </c>
      <c r="G67" s="52">
        <f t="shared" si="43"/>
        <v>8555.0246117</v>
      </c>
      <c r="H67" s="52">
        <f t="shared" si="43"/>
        <v>6536.436169150002</v>
      </c>
      <c r="I67" s="52">
        <f t="shared" si="43"/>
        <v>7410.6550883</v>
      </c>
      <c r="J67" s="52">
        <f t="shared" si="43"/>
        <v>6805.21566625</v>
      </c>
      <c r="K67" s="52">
        <f t="shared" si="43"/>
        <v>6020.5899128</v>
      </c>
      <c r="L67" s="52">
        <f t="shared" si="43"/>
        <v>6221.488982049999</v>
      </c>
      <c r="M67" s="52">
        <f t="shared" si="43"/>
        <v>6881.322737</v>
      </c>
      <c r="N67" s="52">
        <f t="shared" si="43"/>
        <v>9475.411220850001</v>
      </c>
      <c r="O67" s="52">
        <f t="shared" si="43"/>
        <v>9609.800969399997</v>
      </c>
      <c r="P67" s="52">
        <f t="shared" si="43"/>
        <v>9776.64733645</v>
      </c>
      <c r="Q67" s="53"/>
      <c r="R67" s="54">
        <f>SUM(E67:P67)</f>
        <v>96646.5843813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6068.407500000001</v>
      </c>
      <c r="F72" s="6">
        <f t="shared" si="46"/>
        <v>6945.345000000001</v>
      </c>
      <c r="G72" s="6">
        <f t="shared" si="46"/>
        <v>5682.555</v>
      </c>
      <c r="H72" s="6">
        <f t="shared" si="46"/>
        <v>4174.222500000001</v>
      </c>
      <c r="I72" s="6">
        <f t="shared" si="46"/>
        <v>4840.695000000001</v>
      </c>
      <c r="J72" s="6">
        <f t="shared" si="46"/>
        <v>4384.687500000001</v>
      </c>
      <c r="K72" s="6">
        <f t="shared" si="46"/>
        <v>3788.3700000000003</v>
      </c>
      <c r="L72" s="6">
        <f t="shared" si="46"/>
        <v>3963.7575000000006</v>
      </c>
      <c r="M72" s="6">
        <f t="shared" si="46"/>
        <v>4209.3</v>
      </c>
      <c r="N72" s="6">
        <f t="shared" si="46"/>
        <v>6349.027500000001</v>
      </c>
      <c r="O72" s="6">
        <f t="shared" si="46"/>
        <v>6454.260000000001</v>
      </c>
      <c r="P72" s="6">
        <f t="shared" si="46"/>
        <v>6910.267500000001</v>
      </c>
      <c r="Q72" s="47"/>
      <c r="R72" s="47">
        <f t="shared" si="45"/>
        <v>63770.89500000001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958.77</v>
      </c>
      <c r="F73" s="6">
        <f t="shared" si="47"/>
        <v>1031.1299999999999</v>
      </c>
      <c r="G73" s="6">
        <f t="shared" si="47"/>
        <v>940.68</v>
      </c>
      <c r="H73" s="6">
        <f t="shared" si="47"/>
        <v>868.3199999999999</v>
      </c>
      <c r="I73" s="6">
        <f t="shared" si="47"/>
        <v>886.41</v>
      </c>
      <c r="J73" s="6">
        <f t="shared" si="47"/>
        <v>868.3199999999999</v>
      </c>
      <c r="K73" s="6">
        <f t="shared" si="47"/>
        <v>850.23</v>
      </c>
      <c r="L73" s="6">
        <f t="shared" si="47"/>
        <v>832.14</v>
      </c>
      <c r="M73" s="6">
        <f t="shared" si="47"/>
        <v>1103.49</v>
      </c>
      <c r="N73" s="6">
        <f t="shared" si="47"/>
        <v>994.9499999999999</v>
      </c>
      <c r="O73" s="6">
        <f t="shared" si="47"/>
        <v>994.9499999999999</v>
      </c>
      <c r="P73" s="6">
        <f t="shared" si="47"/>
        <v>669.3299999999999</v>
      </c>
      <c r="Q73" s="47"/>
      <c r="R73" s="47">
        <f t="shared" si="45"/>
        <v>10998.720000000001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176.55515</v>
      </c>
      <c r="F75" s="6">
        <f t="shared" si="49"/>
        <v>202.0689</v>
      </c>
      <c r="G75" s="6">
        <f t="shared" si="49"/>
        <v>165.3291</v>
      </c>
      <c r="H75" s="6">
        <f t="shared" si="49"/>
        <v>121.44545000000001</v>
      </c>
      <c r="I75" s="6">
        <f t="shared" si="49"/>
        <v>140.8359</v>
      </c>
      <c r="J75" s="6">
        <f t="shared" si="49"/>
        <v>127.56875000000001</v>
      </c>
      <c r="K75" s="6">
        <f t="shared" si="49"/>
        <v>110.21940000000001</v>
      </c>
      <c r="L75" s="6">
        <f t="shared" si="49"/>
        <v>115.32215000000001</v>
      </c>
      <c r="M75" s="6">
        <f t="shared" si="49"/>
        <v>122.46600000000001</v>
      </c>
      <c r="N75" s="6">
        <f t="shared" si="49"/>
        <v>184.71955</v>
      </c>
      <c r="O75" s="6">
        <f t="shared" si="49"/>
        <v>187.7812</v>
      </c>
      <c r="P75" s="6">
        <f t="shared" si="49"/>
        <v>201.04835</v>
      </c>
      <c r="Q75" s="47"/>
      <c r="R75" s="47">
        <f t="shared" si="45"/>
        <v>1855.3599000000004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85.28899999999999</v>
      </c>
      <c r="F76" s="6">
        <f t="shared" si="50"/>
        <v>97.61399999999999</v>
      </c>
      <c r="G76" s="6">
        <f t="shared" si="50"/>
        <v>79.86599999999999</v>
      </c>
      <c r="H76" s="6">
        <f t="shared" si="50"/>
        <v>58.666999999999994</v>
      </c>
      <c r="I76" s="6">
        <f t="shared" si="50"/>
        <v>68.03399999999999</v>
      </c>
      <c r="J76" s="6">
        <f t="shared" si="50"/>
        <v>61.62499999999999</v>
      </c>
      <c r="K76" s="6">
        <f t="shared" si="50"/>
        <v>53.24399999999999</v>
      </c>
      <c r="L76" s="6">
        <f t="shared" si="50"/>
        <v>55.708999999999996</v>
      </c>
      <c r="M76" s="6">
        <f t="shared" si="50"/>
        <v>59.16</v>
      </c>
      <c r="N76" s="6">
        <f t="shared" si="50"/>
        <v>89.23299999999999</v>
      </c>
      <c r="O76" s="6">
        <f t="shared" si="50"/>
        <v>90.71199999999999</v>
      </c>
      <c r="P76" s="6">
        <f t="shared" si="50"/>
        <v>97.121</v>
      </c>
      <c r="Q76" s="47"/>
      <c r="R76" s="47">
        <f t="shared" si="45"/>
        <v>896.2739999999998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102.24300000000001</v>
      </c>
      <c r="F77" s="6">
        <f aca="true" t="shared" si="51" ref="F77:P77">$D77*F$7</f>
        <v>117.01800000000001</v>
      </c>
      <c r="G77" s="6">
        <f t="shared" si="51"/>
        <v>95.742</v>
      </c>
      <c r="H77" s="6">
        <f t="shared" si="51"/>
        <v>70.32900000000001</v>
      </c>
      <c r="I77" s="6">
        <f t="shared" si="51"/>
        <v>81.558</v>
      </c>
      <c r="J77" s="6">
        <f t="shared" si="51"/>
        <v>73.875</v>
      </c>
      <c r="K77" s="6">
        <f t="shared" si="51"/>
        <v>63.828</v>
      </c>
      <c r="L77" s="6">
        <f t="shared" si="51"/>
        <v>66.783</v>
      </c>
      <c r="M77" s="6">
        <f t="shared" si="51"/>
        <v>70.92</v>
      </c>
      <c r="N77" s="6">
        <f t="shared" si="51"/>
        <v>106.971</v>
      </c>
      <c r="O77" s="6">
        <f t="shared" si="51"/>
        <v>108.74400000000001</v>
      </c>
      <c r="P77" s="6">
        <f t="shared" si="51"/>
        <v>116.427</v>
      </c>
      <c r="Q77" s="47"/>
      <c r="R77" s="47">
        <f t="shared" si="45"/>
        <v>1074.438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120.235</v>
      </c>
      <c r="F80" s="6">
        <f t="shared" si="54"/>
        <v>137.60999999999999</v>
      </c>
      <c r="G80" s="6">
        <f t="shared" si="54"/>
        <v>112.59</v>
      </c>
      <c r="H80" s="6">
        <f t="shared" si="54"/>
        <v>82.705</v>
      </c>
      <c r="I80" s="6">
        <f t="shared" si="54"/>
        <v>95.91</v>
      </c>
      <c r="J80" s="6">
        <f t="shared" si="54"/>
        <v>86.875</v>
      </c>
      <c r="K80" s="6">
        <f t="shared" si="54"/>
        <v>75.06</v>
      </c>
      <c r="L80" s="6">
        <f t="shared" si="54"/>
        <v>78.535</v>
      </c>
      <c r="M80" s="6">
        <f t="shared" si="54"/>
        <v>83.39999999999999</v>
      </c>
      <c r="N80" s="6">
        <f t="shared" si="54"/>
        <v>125.795</v>
      </c>
      <c r="O80" s="6">
        <f t="shared" si="54"/>
        <v>127.88</v>
      </c>
      <c r="P80" s="6">
        <f t="shared" si="54"/>
        <v>136.915</v>
      </c>
      <c r="Q80" s="47"/>
      <c r="R80" s="47">
        <f t="shared" si="45"/>
        <v>1263.5099999999998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119.25</v>
      </c>
      <c r="F81" s="6">
        <f t="shared" si="55"/>
        <v>128.25</v>
      </c>
      <c r="G81" s="6">
        <f t="shared" si="55"/>
        <v>117</v>
      </c>
      <c r="H81" s="6">
        <f t="shared" si="55"/>
        <v>108</v>
      </c>
      <c r="I81" s="6">
        <f t="shared" si="55"/>
        <v>110.25</v>
      </c>
      <c r="J81" s="6">
        <f t="shared" si="55"/>
        <v>108</v>
      </c>
      <c r="K81" s="6">
        <f t="shared" si="55"/>
        <v>105.75</v>
      </c>
      <c r="L81" s="6">
        <f t="shared" si="55"/>
        <v>103.5</v>
      </c>
      <c r="M81" s="6">
        <f t="shared" si="55"/>
        <v>137.25</v>
      </c>
      <c r="N81" s="6">
        <f t="shared" si="55"/>
        <v>123.75</v>
      </c>
      <c r="O81" s="6">
        <f t="shared" si="55"/>
        <v>123.75</v>
      </c>
      <c r="P81" s="6">
        <f t="shared" si="55"/>
        <v>83.25</v>
      </c>
      <c r="Q81" s="47"/>
      <c r="R81" s="47">
        <f t="shared" si="45"/>
        <v>1368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316.63973411650005</v>
      </c>
      <c r="F82" s="6">
        <f t="shared" si="56"/>
        <v>356.994017549</v>
      </c>
      <c r="G82" s="6">
        <f t="shared" si="56"/>
        <v>299.84686135100003</v>
      </c>
      <c r="H82" s="6">
        <f t="shared" si="56"/>
        <v>234.0868022695</v>
      </c>
      <c r="I82" s="6">
        <f t="shared" si="56"/>
        <v>262.1711308789999</v>
      </c>
      <c r="J82" s="6">
        <f t="shared" si="56"/>
        <v>242.5553941525</v>
      </c>
      <c r="K82" s="6">
        <f t="shared" si="56"/>
        <v>217.293929504</v>
      </c>
      <c r="L82" s="6">
        <f t="shared" si="56"/>
        <v>223.0839684265</v>
      </c>
      <c r="M82" s="6">
        <f t="shared" si="56"/>
        <v>251.97080698999994</v>
      </c>
      <c r="N82" s="6">
        <f t="shared" si="56"/>
        <v>330.46543192049995</v>
      </c>
      <c r="O82" s="6">
        <f t="shared" si="56"/>
        <v>334.69972786200003</v>
      </c>
      <c r="P82" s="6">
        <f t="shared" si="56"/>
        <v>330.2401659685</v>
      </c>
      <c r="Q82" s="47"/>
      <c r="R82" s="47">
        <f t="shared" si="45"/>
        <v>3400.0479709890005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498.24619510150006</v>
      </c>
      <c r="F83" s="6">
        <f t="shared" si="57"/>
        <v>561.745389959</v>
      </c>
      <c r="G83" s="6">
        <f t="shared" si="57"/>
        <v>471.8218899410001</v>
      </c>
      <c r="H83" s="6">
        <f t="shared" si="57"/>
        <v>368.3456180245</v>
      </c>
      <c r="I83" s="6">
        <f t="shared" si="57"/>
        <v>412.53751298899994</v>
      </c>
      <c r="J83" s="6">
        <f t="shared" si="57"/>
        <v>381.67131037750005</v>
      </c>
      <c r="K83" s="6">
        <f t="shared" si="57"/>
        <v>341.921312864</v>
      </c>
      <c r="L83" s="6">
        <f t="shared" si="57"/>
        <v>351.0321873115</v>
      </c>
      <c r="M83" s="6">
        <f t="shared" si="57"/>
        <v>396.4868660899999</v>
      </c>
      <c r="N83" s="6">
        <f t="shared" si="57"/>
        <v>520.0015232654999</v>
      </c>
      <c r="O83" s="6">
        <f t="shared" si="57"/>
        <v>526.6643694420001</v>
      </c>
      <c r="P83" s="6">
        <f t="shared" si="57"/>
        <v>519.6470576335</v>
      </c>
      <c r="R83" s="47">
        <f t="shared" si="45"/>
        <v>5350.121232998999</v>
      </c>
      <c r="S83" s="20"/>
    </row>
    <row r="84" spans="1:18" ht="15.75" thickBot="1">
      <c r="A84" s="40"/>
      <c r="D84" s="9" t="s">
        <v>24</v>
      </c>
      <c r="E84" s="52">
        <f>SUM(E71:E83)</f>
        <v>8530.785579218002</v>
      </c>
      <c r="F84" s="52">
        <f aca="true" t="shared" si="58" ref="F84:P84">SUM(F71:F83)</f>
        <v>9662.925307508</v>
      </c>
      <c r="G84" s="52">
        <f t="shared" si="58"/>
        <v>8050.580851292001</v>
      </c>
      <c r="H84" s="52">
        <f t="shared" si="58"/>
        <v>6171.271370294001</v>
      </c>
      <c r="I84" s="52">
        <f t="shared" si="58"/>
        <v>6983.5515438679995</v>
      </c>
      <c r="J84" s="52">
        <f t="shared" si="58"/>
        <v>6420.327954530001</v>
      </c>
      <c r="K84" s="52">
        <f t="shared" si="58"/>
        <v>5691.066642368</v>
      </c>
      <c r="L84" s="52">
        <f t="shared" si="58"/>
        <v>5875.012805738001</v>
      </c>
      <c r="M84" s="52">
        <f t="shared" si="58"/>
        <v>6519.5936730799995</v>
      </c>
      <c r="N84" s="52">
        <f t="shared" si="58"/>
        <v>8910.063005186</v>
      </c>
      <c r="O84" s="52">
        <f t="shared" si="58"/>
        <v>9034.591297304001</v>
      </c>
      <c r="P84" s="52">
        <f t="shared" si="58"/>
        <v>9149.396073602</v>
      </c>
      <c r="Q84" s="53"/>
      <c r="R84" s="54">
        <f>SUM(E84:P84)</f>
        <v>90999.166103988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8"/>
  <sheetViews>
    <sheetView tabSelected="1" zoomScalePageLayoutView="0" workbookViewId="0" topLeftCell="A7">
      <selection activeCell="E25" sqref="E25"/>
    </sheetView>
  </sheetViews>
  <sheetFormatPr defaultColWidth="9.140625" defaultRowHeight="15"/>
  <cols>
    <col min="1" max="1" width="21.00390625" style="0" customWidth="1"/>
    <col min="2" max="2" width="4.57421875" style="0" customWidth="1"/>
    <col min="3" max="3" width="13.8515625" style="0" customWidth="1"/>
    <col min="4" max="4" width="12.8515625" style="15" customWidth="1"/>
    <col min="5" max="5" width="11.00390625" style="15" customWidth="1"/>
    <col min="6" max="6" width="11.28125" style="0" customWidth="1"/>
    <col min="7" max="8" width="11.8515625" style="15" customWidth="1"/>
    <col min="9" max="9" width="12.140625" style="0" customWidth="1"/>
    <col min="10" max="10" width="12.421875" style="15" customWidth="1"/>
    <col min="11" max="11" width="11.57421875" style="15" customWidth="1"/>
    <col min="12" max="12" width="12.28125" style="0" customWidth="1"/>
    <col min="13" max="13" width="12.00390625" style="0" customWidth="1"/>
    <col min="14" max="14" width="10.7109375" style="0" customWidth="1"/>
  </cols>
  <sheetData>
    <row r="1" s="15" customFormat="1" ht="15"/>
    <row r="2" spans="2:14" ht="21">
      <c r="B2" s="38"/>
      <c r="C2" s="81"/>
      <c r="D2" s="81"/>
      <c r="E2" s="49"/>
      <c r="F2" s="81"/>
      <c r="G2" s="81"/>
      <c r="H2" s="49"/>
      <c r="I2" s="81"/>
      <c r="J2" s="81"/>
      <c r="K2" s="49"/>
      <c r="L2" s="38"/>
      <c r="M2" s="38"/>
      <c r="N2" s="38"/>
    </row>
    <row r="3" spans="1:14" s="15" customFormat="1" ht="56.25">
      <c r="A3" s="38" t="s">
        <v>34</v>
      </c>
      <c r="B3" s="38"/>
      <c r="C3" s="67" t="str">
        <f>'Rate Comparison'!B21</f>
        <v>L.G.S. Current</v>
      </c>
      <c r="D3" s="67" t="str">
        <f>'Rate Comparison'!B36</f>
        <v>L.G.S. -School</v>
      </c>
      <c r="E3" s="68" t="s">
        <v>74</v>
      </c>
      <c r="F3" s="67"/>
      <c r="G3" s="67"/>
      <c r="H3" s="68" t="s">
        <v>74</v>
      </c>
      <c r="I3" s="67" t="str">
        <f>'Rate Comparison'!B54</f>
        <v>L.G.S. School Current</v>
      </c>
      <c r="J3" s="67" t="str">
        <f>'Rate Comparison'!B70</f>
        <v>L.G.S. School Proposed</v>
      </c>
      <c r="K3" s="68" t="s">
        <v>74</v>
      </c>
      <c r="L3" s="67"/>
      <c r="M3" s="67"/>
      <c r="N3" s="68" t="s">
        <v>74</v>
      </c>
    </row>
    <row r="4" spans="1:14" s="15" customFormat="1" ht="21">
      <c r="A4" s="39"/>
      <c r="B4" s="39"/>
      <c r="C4" s="46"/>
      <c r="D4" s="46"/>
      <c r="E4" s="69"/>
      <c r="F4" s="46"/>
      <c r="G4" s="46"/>
      <c r="H4" s="69"/>
      <c r="I4" s="46"/>
      <c r="J4" s="46"/>
      <c r="K4" s="69"/>
      <c r="L4" s="39"/>
      <c r="M4" s="39"/>
      <c r="N4" s="65"/>
    </row>
    <row r="5" spans="1:14" ht="15">
      <c r="A5" t="str">
        <f>'AA'!K$1</f>
        <v>Flat Gap Elem</v>
      </c>
      <c r="B5" t="s">
        <v>35</v>
      </c>
      <c r="C5" s="48">
        <f>'AA'!R$34</f>
        <v>0</v>
      </c>
      <c r="D5" s="48">
        <f>'AA'!R$50</f>
        <v>1020</v>
      </c>
      <c r="E5" s="70">
        <f>IF($C5&gt;0,(D5-C5)/C5,0)</f>
        <v>0</v>
      </c>
      <c r="F5" s="48" t="e">
        <f>'AA'!#REF!</f>
        <v>#REF!</v>
      </c>
      <c r="G5" s="48" t="e">
        <f>'AA'!#REF!</f>
        <v>#REF!</v>
      </c>
      <c r="H5" s="70" t="e">
        <f>IF($F5&gt;0,(G5-F5)/F5,0)</f>
        <v>#REF!</v>
      </c>
      <c r="I5" s="48">
        <f>'AA'!R$67</f>
        <v>92310.421021236</v>
      </c>
      <c r="J5" s="48">
        <f>'AA'!R$84</f>
        <v>86896.41759966336</v>
      </c>
      <c r="K5" s="70">
        <f>IF($I5&gt;0,(J5-I5)/I5,0)</f>
        <v>-0.05864996997822334</v>
      </c>
      <c r="L5" s="48" t="e">
        <f>'AA'!#REF!</f>
        <v>#REF!</v>
      </c>
      <c r="M5" s="48" t="e">
        <f>'AA'!#REF!</f>
        <v>#REF!</v>
      </c>
      <c r="N5" s="70" t="e">
        <f>IF($L5&gt;0,(M5-L5)/L5,0)</f>
        <v>#REF!</v>
      </c>
    </row>
    <row r="6" spans="1:14" ht="15">
      <c r="A6" s="15" t="str">
        <f>'AB'!K$1</f>
        <v>Porter ES</v>
      </c>
      <c r="B6" t="s">
        <v>36</v>
      </c>
      <c r="C6" s="48">
        <f>'AB'!R$34</f>
        <v>0</v>
      </c>
      <c r="D6" s="48">
        <f>'AB'!R$50</f>
        <v>1020</v>
      </c>
      <c r="E6" s="70">
        <f aca="true" t="shared" si="0" ref="E6:E21">IF($C6&gt;0,(D6-C6)/C6,0)</f>
        <v>0</v>
      </c>
      <c r="F6" s="48" t="e">
        <f>'AB'!#REF!</f>
        <v>#REF!</v>
      </c>
      <c r="G6" s="48" t="e">
        <f>'AB'!#REF!</f>
        <v>#REF!</v>
      </c>
      <c r="H6" s="70" t="e">
        <f aca="true" t="shared" si="1" ref="H6:H21">IF($F6&gt;0,(G6-F6)/F6,0)</f>
        <v>#REF!</v>
      </c>
      <c r="I6" s="48">
        <f>'AB'!R$67</f>
        <v>30634.971595362902</v>
      </c>
      <c r="J6" s="48">
        <f>'AB'!R$84</f>
        <v>28899.594995551764</v>
      </c>
      <c r="K6" s="70">
        <f aca="true" t="shared" si="2" ref="K6:K21">IF($I6&gt;0,(J6-I6)/I6,0)</f>
        <v>-0.056646913949605714</v>
      </c>
      <c r="L6" s="48" t="e">
        <f>'AB'!#REF!</f>
        <v>#REF!</v>
      </c>
      <c r="M6" s="48" t="e">
        <f>'AB'!#REF!</f>
        <v>#REF!</v>
      </c>
      <c r="N6" s="70" t="e">
        <f aca="true" t="shared" si="3" ref="N6:N21">IF($L6&gt;0,(M6-L6)/L6,0)</f>
        <v>#REF!</v>
      </c>
    </row>
    <row r="7" spans="1:14" ht="15">
      <c r="A7" s="15" t="str">
        <f>'AC'!K$1</f>
        <v>John Middle</v>
      </c>
      <c r="B7" t="s">
        <v>37</v>
      </c>
      <c r="C7" s="48">
        <f>'AC'!R$34</f>
        <v>0</v>
      </c>
      <c r="D7" s="48">
        <f>'AC'!R$50</f>
        <v>1020</v>
      </c>
      <c r="E7" s="70">
        <f t="shared" si="0"/>
        <v>0</v>
      </c>
      <c r="F7" s="48" t="e">
        <f>'AC'!#REF!</f>
        <v>#REF!</v>
      </c>
      <c r="G7" s="48" t="e">
        <f>'AC'!#REF!</f>
        <v>#REF!</v>
      </c>
      <c r="H7" s="70" t="e">
        <f t="shared" si="1"/>
        <v>#REF!</v>
      </c>
      <c r="I7" s="48">
        <f>'AC'!R$67</f>
        <v>108980.04591451999</v>
      </c>
      <c r="J7" s="48">
        <f>'AC'!R$84</f>
        <v>103312.01477284322</v>
      </c>
      <c r="K7" s="70">
        <f t="shared" si="2"/>
        <v>-0.05200980687898191</v>
      </c>
      <c r="L7" s="48" t="e">
        <f>'AC'!#REF!</f>
        <v>#REF!</v>
      </c>
      <c r="M7" s="48" t="e">
        <f>'AC'!#REF!</f>
        <v>#REF!</v>
      </c>
      <c r="N7" s="70" t="e">
        <f t="shared" si="3"/>
        <v>#REF!</v>
      </c>
    </row>
    <row r="8" spans="1:14" ht="15">
      <c r="A8" s="15" t="str">
        <f>'AD'!K$1</f>
        <v>Johnson HS</v>
      </c>
      <c r="B8" t="s">
        <v>38</v>
      </c>
      <c r="C8" s="48">
        <f>'AD'!R$34</f>
        <v>0</v>
      </c>
      <c r="D8" s="48">
        <f>'AD'!R$50</f>
        <v>1020</v>
      </c>
      <c r="E8" s="70">
        <f t="shared" si="0"/>
        <v>0</v>
      </c>
      <c r="F8" s="48" t="e">
        <f>'AD'!#REF!</f>
        <v>#REF!</v>
      </c>
      <c r="G8" s="48" t="e">
        <f>'AD'!#REF!</f>
        <v>#REF!</v>
      </c>
      <c r="H8" s="70" t="e">
        <f t="shared" si="1"/>
        <v>#REF!</v>
      </c>
      <c r="I8" s="48">
        <f>'AD'!R$67</f>
        <v>168219.81319553606</v>
      </c>
      <c r="J8" s="48">
        <f>'AD'!R$84</f>
        <v>158241.94109184574</v>
      </c>
      <c r="K8" s="70">
        <f t="shared" si="2"/>
        <v>-0.05931448807455394</v>
      </c>
      <c r="L8" s="48" t="e">
        <f>'AD'!#REF!</f>
        <v>#REF!</v>
      </c>
      <c r="M8" s="48" t="e">
        <f>'AD'!#REF!</f>
        <v>#REF!</v>
      </c>
      <c r="N8" s="70" t="e">
        <f t="shared" si="3"/>
        <v>#REF!</v>
      </c>
    </row>
    <row r="9" spans="1:14" ht="15">
      <c r="A9" s="15" t="str">
        <f>'AE'!K$1</f>
        <v>Louisa East ES</v>
      </c>
      <c r="B9" s="15" t="s">
        <v>48</v>
      </c>
      <c r="C9" s="48">
        <f>'AE'!R$34</f>
        <v>0</v>
      </c>
      <c r="D9" s="48">
        <f>'AE'!R$50</f>
        <v>1020</v>
      </c>
      <c r="E9" s="70">
        <f t="shared" si="0"/>
        <v>0</v>
      </c>
      <c r="F9" s="48" t="e">
        <f>'AE'!#REF!</f>
        <v>#REF!</v>
      </c>
      <c r="G9" s="48" t="e">
        <f>'AE'!#REF!</f>
        <v>#REF!</v>
      </c>
      <c r="H9" s="70" t="e">
        <f t="shared" si="1"/>
        <v>#REF!</v>
      </c>
      <c r="I9" s="48">
        <f>'AE'!R$67</f>
        <v>101885.15056410921</v>
      </c>
      <c r="J9" s="48">
        <f>'AE'!R$84</f>
        <v>96303.98025696907</v>
      </c>
      <c r="K9" s="70">
        <f t="shared" si="2"/>
        <v>-0.05477903576957765</v>
      </c>
      <c r="L9" s="48" t="e">
        <f>'AE'!#REF!</f>
        <v>#REF!</v>
      </c>
      <c r="M9" s="48" t="e">
        <f>'AE'!#REF!</f>
        <v>#REF!</v>
      </c>
      <c r="N9" s="70" t="e">
        <f t="shared" si="3"/>
        <v>#REF!</v>
      </c>
    </row>
    <row r="10" spans="1:14" ht="15">
      <c r="A10" s="15" t="str">
        <f>'AF'!K$1</f>
        <v>Louisa West ES</v>
      </c>
      <c r="B10" s="15" t="s">
        <v>49</v>
      </c>
      <c r="C10" s="48">
        <f>'AF'!R$34</f>
        <v>0</v>
      </c>
      <c r="D10" s="48">
        <f>'AF'!R$50</f>
        <v>1020</v>
      </c>
      <c r="E10" s="70">
        <f t="shared" si="0"/>
        <v>0</v>
      </c>
      <c r="F10" s="48" t="e">
        <f>'AF'!#REF!</f>
        <v>#REF!</v>
      </c>
      <c r="G10" s="48" t="e">
        <f>'AF'!#REF!</f>
        <v>#REF!</v>
      </c>
      <c r="H10" s="70" t="e">
        <f t="shared" si="1"/>
        <v>#REF!</v>
      </c>
      <c r="I10" s="48">
        <f>'AF'!R$67</f>
        <v>140531.27633686402</v>
      </c>
      <c r="J10" s="48">
        <f>'AF'!R$84</f>
        <v>132721.72903968382</v>
      </c>
      <c r="K10" s="70">
        <f t="shared" si="2"/>
        <v>-0.055571595880621785</v>
      </c>
      <c r="L10" s="48" t="e">
        <f>'AF'!#REF!</f>
        <v>#REF!</v>
      </c>
      <c r="M10" s="48" t="e">
        <f>'AF'!#REF!</f>
        <v>#REF!</v>
      </c>
      <c r="N10" s="70" t="e">
        <f t="shared" si="3"/>
        <v>#REF!</v>
      </c>
    </row>
    <row r="11" spans="1:14" ht="15">
      <c r="A11" s="15" t="str">
        <f>'AG'!K$1</f>
        <v>Lawrence MS</v>
      </c>
      <c r="B11" s="15" t="s">
        <v>50</v>
      </c>
      <c r="C11" s="48">
        <f>'AG'!R$34</f>
        <v>0</v>
      </c>
      <c r="D11" s="48">
        <f>'AG'!R$50</f>
        <v>1020</v>
      </c>
      <c r="E11" s="70">
        <f t="shared" si="0"/>
        <v>0</v>
      </c>
      <c r="F11" s="48" t="e">
        <f>'AG'!#REF!</f>
        <v>#REF!</v>
      </c>
      <c r="G11" s="48" t="e">
        <f>'AG'!#REF!</f>
        <v>#REF!</v>
      </c>
      <c r="H11" s="70" t="e">
        <f t="shared" si="1"/>
        <v>#REF!</v>
      </c>
      <c r="I11" s="48">
        <f>'AG'!R$67</f>
        <v>221119.36863392</v>
      </c>
      <c r="J11" s="48">
        <f>'AG'!R$84</f>
        <v>208335.1955256192</v>
      </c>
      <c r="K11" s="70">
        <f t="shared" si="2"/>
        <v>-0.05781570916777526</v>
      </c>
      <c r="L11" s="48" t="e">
        <f>'AG'!#REF!</f>
        <v>#REF!</v>
      </c>
      <c r="M11" s="48" t="e">
        <f>'AG'!#REF!</f>
        <v>#REF!</v>
      </c>
      <c r="N11" s="70" t="e">
        <f t="shared" si="3"/>
        <v>#REF!</v>
      </c>
    </row>
    <row r="12" spans="1:14" ht="15">
      <c r="A12" s="15" t="str">
        <f>'AH'!K$1</f>
        <v>Lawrence HS</v>
      </c>
      <c r="B12" s="15" t="s">
        <v>51</v>
      </c>
      <c r="C12" s="48">
        <f>'AH'!R$34</f>
        <v>0</v>
      </c>
      <c r="D12" s="48">
        <f>'AH'!R$50</f>
        <v>1020</v>
      </c>
      <c r="E12" s="70">
        <f t="shared" si="0"/>
        <v>0</v>
      </c>
      <c r="F12" s="48" t="e">
        <f>'AH'!#REF!</f>
        <v>#REF!</v>
      </c>
      <c r="G12" s="48" t="e">
        <f>'AH'!#REF!</f>
        <v>#REF!</v>
      </c>
      <c r="H12" s="70" t="e">
        <f t="shared" si="1"/>
        <v>#REF!</v>
      </c>
      <c r="I12" s="48">
        <f>'AH'!R$67</f>
        <v>135460.118352547</v>
      </c>
      <c r="J12" s="48">
        <f>'AH'!R$84</f>
        <v>127689.79803944654</v>
      </c>
      <c r="K12" s="70">
        <f t="shared" si="2"/>
        <v>-0.05736242081877934</v>
      </c>
      <c r="L12" s="48" t="e">
        <f>'AH'!#REF!</f>
        <v>#REF!</v>
      </c>
      <c r="M12" s="48" t="e">
        <f>'AH'!#REF!</f>
        <v>#REF!</v>
      </c>
      <c r="N12" s="70" t="e">
        <f t="shared" si="3"/>
        <v>#REF!</v>
      </c>
    </row>
    <row r="13" spans="1:14" ht="15">
      <c r="A13" s="15" t="str">
        <f>'AI'!K$1</f>
        <v>Inez ES</v>
      </c>
      <c r="B13" s="15" t="s">
        <v>73</v>
      </c>
      <c r="C13" s="48">
        <f>'AI'!R$34</f>
        <v>0</v>
      </c>
      <c r="D13" s="48">
        <f>'AI'!R$50</f>
        <v>1020</v>
      </c>
      <c r="E13" s="70">
        <f t="shared" si="0"/>
        <v>0</v>
      </c>
      <c r="F13" s="48" t="e">
        <f>'AI'!#REF!</f>
        <v>#REF!</v>
      </c>
      <c r="G13" s="48" t="e">
        <f>'AI'!#REF!</f>
        <v>#REF!</v>
      </c>
      <c r="H13" s="70" t="e">
        <f t="shared" si="1"/>
        <v>#REF!</v>
      </c>
      <c r="I13" s="48">
        <f>'AI'!R$67</f>
        <v>57189.691413648005</v>
      </c>
      <c r="J13" s="48">
        <f>'AI'!R$84</f>
        <v>53853.71338716289</v>
      </c>
      <c r="K13" s="70">
        <f t="shared" si="2"/>
        <v>-0.058331806729927584</v>
      </c>
      <c r="L13" s="48" t="e">
        <f>'AI'!#REF!</f>
        <v>#REF!</v>
      </c>
      <c r="M13" s="48" t="e">
        <f>'AI'!#REF!</f>
        <v>#REF!</v>
      </c>
      <c r="N13" s="70" t="e">
        <f t="shared" si="3"/>
        <v>#REF!</v>
      </c>
    </row>
    <row r="14" spans="1:14" ht="15">
      <c r="A14" s="15" t="str">
        <f>'AJ'!K$1</f>
        <v>Warfield ES</v>
      </c>
      <c r="B14" s="15" t="s">
        <v>52</v>
      </c>
      <c r="C14" s="48">
        <f>'AJ'!R$34</f>
        <v>0</v>
      </c>
      <c r="D14" s="48">
        <f>'AJ'!R$50</f>
        <v>1020</v>
      </c>
      <c r="E14" s="70">
        <f t="shared" si="0"/>
        <v>0</v>
      </c>
      <c r="F14" s="48" t="e">
        <f>'AJ'!#REF!</f>
        <v>#REF!</v>
      </c>
      <c r="G14" s="48" t="e">
        <f>'AJ'!#REF!</f>
        <v>#REF!</v>
      </c>
      <c r="H14" s="70" t="e">
        <f t="shared" si="1"/>
        <v>#REF!</v>
      </c>
      <c r="I14" s="48">
        <f>'AJ'!R$67</f>
        <v>71562.47654422121</v>
      </c>
      <c r="J14" s="48">
        <f>'AJ'!R$84</f>
        <v>67360.16558187979</v>
      </c>
      <c r="K14" s="70">
        <f t="shared" si="2"/>
        <v>-0.05872226850260905</v>
      </c>
      <c r="L14" s="48" t="e">
        <f>'AJ'!#REF!</f>
        <v>#REF!</v>
      </c>
      <c r="M14" s="48" t="e">
        <f>'AJ'!#REF!</f>
        <v>#REF!</v>
      </c>
      <c r="N14" s="70" t="e">
        <f t="shared" si="3"/>
        <v>#REF!</v>
      </c>
    </row>
    <row r="15" spans="1:14" ht="15">
      <c r="A15" s="15" t="str">
        <f>'AK'!K$1</f>
        <v>Inez MS</v>
      </c>
      <c r="B15" s="15" t="s">
        <v>53</v>
      </c>
      <c r="C15" s="48">
        <f>'AK'!R$34</f>
        <v>0</v>
      </c>
      <c r="D15" s="48">
        <f>'AK'!R$50</f>
        <v>1020</v>
      </c>
      <c r="E15" s="70">
        <f t="shared" si="0"/>
        <v>0</v>
      </c>
      <c r="F15" s="48" t="e">
        <f>'AK'!#REF!</f>
        <v>#REF!</v>
      </c>
      <c r="G15" s="48" t="e">
        <f>'AK'!#REF!</f>
        <v>#REF!</v>
      </c>
      <c r="H15" s="70" t="e">
        <f t="shared" si="1"/>
        <v>#REF!</v>
      </c>
      <c r="I15" s="48">
        <f>'AK'!R$67</f>
        <v>116802.33551128021</v>
      </c>
      <c r="J15" s="48">
        <f>'AK'!R$84</f>
        <v>109555.61785269223</v>
      </c>
      <c r="K15" s="70">
        <f t="shared" si="2"/>
        <v>-0.06204257497820431</v>
      </c>
      <c r="L15" s="48" t="e">
        <f>'AK'!#REF!</f>
        <v>#REF!</v>
      </c>
      <c r="M15" s="48" t="e">
        <f>'AK'!#REF!</f>
        <v>#REF!</v>
      </c>
      <c r="N15" s="70" t="e">
        <f t="shared" si="3"/>
        <v>#REF!</v>
      </c>
    </row>
    <row r="16" spans="1:14" ht="15">
      <c r="A16" s="15" t="str">
        <f>'AL'!K$1</f>
        <v>Sheldon Clark</v>
      </c>
      <c r="B16" s="15" t="s">
        <v>54</v>
      </c>
      <c r="C16" s="48">
        <f>'AL'!R$34</f>
        <v>0</v>
      </c>
      <c r="D16" s="48">
        <f>'AL'!R$50</f>
        <v>1020</v>
      </c>
      <c r="E16" s="70">
        <f t="shared" si="0"/>
        <v>0</v>
      </c>
      <c r="F16" s="48" t="e">
        <f>'AL'!#REF!</f>
        <v>#REF!</v>
      </c>
      <c r="G16" s="48" t="e">
        <f>'AL'!#REF!</f>
        <v>#REF!</v>
      </c>
      <c r="H16" s="70" t="e">
        <f t="shared" si="1"/>
        <v>#REF!</v>
      </c>
      <c r="I16" s="48">
        <f>'AL'!R$67</f>
        <v>57902.5808784925</v>
      </c>
      <c r="J16" s="48">
        <f>'AL'!R$84</f>
        <v>54377.6056802973</v>
      </c>
      <c r="K16" s="70">
        <f t="shared" si="2"/>
        <v>-0.06087768705150285</v>
      </c>
      <c r="L16" s="48" t="e">
        <f>'AL'!#REF!</f>
        <v>#REF!</v>
      </c>
      <c r="M16" s="48" t="e">
        <f>'AL'!#REF!</f>
        <v>#REF!</v>
      </c>
      <c r="N16" s="70" t="e">
        <f t="shared" si="3"/>
        <v>#REF!</v>
      </c>
    </row>
    <row r="17" spans="1:14" ht="15">
      <c r="A17" s="15" t="str">
        <f>'AM'!K$1</f>
        <v>Paintsville HS</v>
      </c>
      <c r="B17" s="15" t="s">
        <v>55</v>
      </c>
      <c r="C17" s="48">
        <f>'AM'!R$34</f>
        <v>0</v>
      </c>
      <c r="D17" s="48">
        <f>'AM'!R$50</f>
        <v>1020</v>
      </c>
      <c r="E17" s="70">
        <f t="shared" si="0"/>
        <v>0</v>
      </c>
      <c r="F17" s="48" t="e">
        <f>'AM'!#REF!</f>
        <v>#REF!</v>
      </c>
      <c r="G17" s="48" t="e">
        <f>'AM'!#REF!</f>
        <v>#REF!</v>
      </c>
      <c r="H17" s="70" t="e">
        <f t="shared" si="1"/>
        <v>#REF!</v>
      </c>
      <c r="I17" s="48">
        <f>'AM'!R$67</f>
        <v>121411.48948964999</v>
      </c>
      <c r="J17" s="48">
        <f>'AM'!R$84</f>
        <v>114297.945203922</v>
      </c>
      <c r="K17" s="70">
        <f t="shared" si="2"/>
        <v>-0.058590371600163886</v>
      </c>
      <c r="L17" s="48" t="e">
        <f>'AM'!#REF!</f>
        <v>#REF!</v>
      </c>
      <c r="M17" s="48" t="e">
        <f>'AM'!#REF!</f>
        <v>#REF!</v>
      </c>
      <c r="N17" s="70" t="e">
        <f t="shared" si="3"/>
        <v>#REF!</v>
      </c>
    </row>
    <row r="18" spans="1:14" ht="15">
      <c r="A18" s="15" t="str">
        <f>'AN'!K$1</f>
        <v>Paintsville ES</v>
      </c>
      <c r="B18" s="15" t="s">
        <v>56</v>
      </c>
      <c r="C18" s="48">
        <f>'AN'!R$34</f>
        <v>0</v>
      </c>
      <c r="D18" s="48">
        <f>'AN'!R$50</f>
        <v>1020</v>
      </c>
      <c r="E18" s="70">
        <f t="shared" si="0"/>
        <v>0</v>
      </c>
      <c r="F18" s="48" t="e">
        <f>'AN'!#REF!</f>
        <v>#REF!</v>
      </c>
      <c r="G18" s="48" t="e">
        <f>'AN'!#REF!</f>
        <v>#REF!</v>
      </c>
      <c r="H18" s="70" t="e">
        <f t="shared" si="1"/>
        <v>#REF!</v>
      </c>
      <c r="I18" s="48">
        <f>'AN'!R$67</f>
        <v>45160.24960592</v>
      </c>
      <c r="J18" s="48">
        <f>'AN'!R$84</f>
        <v>42439.00989987841</v>
      </c>
      <c r="K18" s="70">
        <f t="shared" si="2"/>
        <v>-0.060257410660654674</v>
      </c>
      <c r="L18" s="48" t="e">
        <f>'AN'!#REF!</f>
        <v>#REF!</v>
      </c>
      <c r="M18" s="48" t="e">
        <f>'AN'!#REF!</f>
        <v>#REF!</v>
      </c>
      <c r="N18" s="70" t="e">
        <f t="shared" si="3"/>
        <v>#REF!</v>
      </c>
    </row>
    <row r="19" spans="1:14" ht="15">
      <c r="A19" s="15" t="str">
        <f>'AO'!K$1</f>
        <v>Central ES Johnson</v>
      </c>
      <c r="B19" s="15" t="s">
        <v>57</v>
      </c>
      <c r="C19" s="48">
        <f>'AO'!R$34</f>
        <v>0</v>
      </c>
      <c r="D19" s="48">
        <f>'AO'!R$50</f>
        <v>1020</v>
      </c>
      <c r="E19" s="70">
        <f t="shared" si="0"/>
        <v>0</v>
      </c>
      <c r="F19" s="48" t="e">
        <f>'AO'!#REF!</f>
        <v>#REF!</v>
      </c>
      <c r="G19" s="48" t="e">
        <f>'AO'!#REF!</f>
        <v>#REF!</v>
      </c>
      <c r="H19" s="70" t="e">
        <f t="shared" si="1"/>
        <v>#REF!</v>
      </c>
      <c r="I19" s="48">
        <f>'AO'!R$67</f>
        <v>96646.5843813</v>
      </c>
      <c r="J19" s="48">
        <f>'AO'!R$84</f>
        <v>90999.166103988</v>
      </c>
      <c r="K19" s="70">
        <f t="shared" si="2"/>
        <v>-0.05843370785905092</v>
      </c>
      <c r="L19" s="48" t="e">
        <f>'AO'!#REF!</f>
        <v>#REF!</v>
      </c>
      <c r="M19" s="48" t="e">
        <f>'AO'!#REF!</f>
        <v>#REF!</v>
      </c>
      <c r="N19" s="70" t="e">
        <f t="shared" si="3"/>
        <v>#REF!</v>
      </c>
    </row>
    <row r="20" spans="1:14" ht="15">
      <c r="A20" s="15" t="str">
        <f>'AP'!K$1</f>
        <v>Highland ES Johnson</v>
      </c>
      <c r="B20" s="15" t="s">
        <v>58</v>
      </c>
      <c r="C20" s="48">
        <f>'AP'!R$34</f>
        <v>0</v>
      </c>
      <c r="D20" s="48">
        <f>'AP'!R$50</f>
        <v>1020</v>
      </c>
      <c r="E20" s="70">
        <f t="shared" si="0"/>
        <v>0</v>
      </c>
      <c r="F20" s="48" t="e">
        <f>'AP'!#REF!</f>
        <v>#REF!</v>
      </c>
      <c r="G20" s="48" t="e">
        <f>'AP'!#REF!</f>
        <v>#REF!</v>
      </c>
      <c r="H20" s="70" t="e">
        <f t="shared" si="1"/>
        <v>#REF!</v>
      </c>
      <c r="I20" s="48">
        <f>'AP'!R$67</f>
        <v>92310.421021236</v>
      </c>
      <c r="J20" s="48">
        <f>'AP'!R$84</f>
        <v>86896.41759966336</v>
      </c>
      <c r="K20" s="70">
        <f t="shared" si="2"/>
        <v>-0.05864996997822334</v>
      </c>
      <c r="L20" s="48" t="e">
        <f>'AP'!#REF!</f>
        <v>#REF!</v>
      </c>
      <c r="M20" s="48" t="e">
        <f>'AP'!#REF!</f>
        <v>#REF!</v>
      </c>
      <c r="N20" s="70" t="e">
        <f t="shared" si="3"/>
        <v>#REF!</v>
      </c>
    </row>
    <row r="21" spans="1:14" ht="15">
      <c r="A21" s="15" t="str">
        <f>'AQ'!K$1</f>
        <v>FACILITY NAME</v>
      </c>
      <c r="B21" s="15" t="s">
        <v>59</v>
      </c>
      <c r="C21" s="48">
        <f>'AQ'!R$34</f>
        <v>0</v>
      </c>
      <c r="D21" s="48">
        <f>'AQ'!R$50</f>
        <v>85</v>
      </c>
      <c r="E21" s="70">
        <f t="shared" si="0"/>
        <v>0</v>
      </c>
      <c r="F21" s="48" t="e">
        <f>'AQ'!#REF!</f>
        <v>#REF!</v>
      </c>
      <c r="G21" s="48" t="e">
        <f>'AQ'!#REF!</f>
        <v>#REF!</v>
      </c>
      <c r="H21" s="70" t="e">
        <f t="shared" si="1"/>
        <v>#REF!</v>
      </c>
      <c r="I21" s="48">
        <f>'AQ'!R$67</f>
        <v>5339.4986850625</v>
      </c>
      <c r="J21" s="48">
        <f>'AQ'!R$84</f>
        <v>5066.5866485225</v>
      </c>
      <c r="K21" s="70">
        <f t="shared" si="2"/>
        <v>-0.05111192129393808</v>
      </c>
      <c r="L21" s="48" t="e">
        <f>'AQ'!#REF!</f>
        <v>#REF!</v>
      </c>
      <c r="M21" s="48" t="e">
        <f>'AQ'!#REF!</f>
        <v>#REF!</v>
      </c>
      <c r="N21" s="70" t="e">
        <f t="shared" si="3"/>
        <v>#REF!</v>
      </c>
    </row>
    <row r="22" spans="1:13" ht="15">
      <c r="A22" s="15"/>
      <c r="B22" s="15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3:13" ht="15">
      <c r="C23" s="47">
        <f>SUM(C5:C22)</f>
        <v>0</v>
      </c>
      <c r="D23" s="47">
        <f>SUM(D5:D22)</f>
        <v>16405</v>
      </c>
      <c r="E23" s="47"/>
      <c r="F23" s="47" t="e">
        <f>SUM(F5:F22)</f>
        <v>#REF!</v>
      </c>
      <c r="G23" s="47" t="e">
        <f>SUM(G5:G22)</f>
        <v>#REF!</v>
      </c>
      <c r="H23" s="47"/>
      <c r="I23" s="47">
        <f>SUM(I5:I22)</f>
        <v>1663466.4931449052</v>
      </c>
      <c r="J23" s="47">
        <f>SUM(J5:J22)</f>
        <v>1567246.8992796293</v>
      </c>
      <c r="K23" s="47"/>
      <c r="L23" s="47" t="e">
        <f>SUM(L5:L22)</f>
        <v>#REF!</v>
      </c>
      <c r="M23" s="47" t="e">
        <f>SUM(M5:M22)</f>
        <v>#REF!</v>
      </c>
    </row>
    <row r="24" spans="3:13" ht="1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3:13" ht="15">
      <c r="C25" s="15"/>
      <c r="D25" s="47"/>
      <c r="E25" s="47"/>
      <c r="F25" s="47"/>
      <c r="G25" s="47"/>
      <c r="H25" s="47"/>
      <c r="I25" s="47"/>
      <c r="J25" s="47">
        <f>I23-J23</f>
        <v>96219.59386527585</v>
      </c>
      <c r="K25" s="47">
        <f>J25/16</f>
        <v>6013.7246165797405</v>
      </c>
      <c r="L25" s="47"/>
      <c r="M25" s="47"/>
    </row>
    <row r="26" spans="3:16" ht="15">
      <c r="C26" s="15"/>
      <c r="D26" s="41"/>
      <c r="F26" s="15"/>
      <c r="I26" s="15">
        <f>'Rate Comparison'!C73</f>
        <v>0.9</v>
      </c>
      <c r="J26" s="41" t="s">
        <v>107</v>
      </c>
      <c r="K26" s="15">
        <v>134</v>
      </c>
      <c r="L26" s="15"/>
      <c r="M26" s="15"/>
      <c r="N26" s="15"/>
      <c r="O26" s="15"/>
      <c r="P26" s="15"/>
    </row>
    <row r="27" spans="3:13" ht="15">
      <c r="C27" s="47"/>
      <c r="D27" s="77"/>
      <c r="E27" s="47"/>
      <c r="F27" s="47"/>
      <c r="G27" s="47"/>
      <c r="H27" s="47"/>
      <c r="I27" s="47"/>
      <c r="J27" s="77">
        <f>J25/I23</f>
        <v>0.05784282055682748</v>
      </c>
      <c r="K27" s="47">
        <f>K25*K26</f>
        <v>805839.0986216853</v>
      </c>
      <c r="L27" s="47"/>
      <c r="M27" s="47"/>
    </row>
    <row r="28" spans="3:13" ht="1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3:13" ht="1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3:13" ht="1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3:13" ht="1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7" ht="15">
      <c r="C37" s="15"/>
    </row>
    <row r="51" spans="3:16" ht="15">
      <c r="C51" s="15"/>
      <c r="O51" s="15"/>
      <c r="P51" s="15"/>
    </row>
    <row r="52" spans="3:14" ht="15">
      <c r="C52" s="15"/>
      <c r="F52" s="15"/>
      <c r="I52" s="15"/>
      <c r="L52" s="15"/>
      <c r="M52" s="15"/>
      <c r="N52" s="15"/>
    </row>
    <row r="64" ht="15">
      <c r="C64" s="15"/>
    </row>
    <row r="67" ht="15">
      <c r="B67" s="15"/>
    </row>
    <row r="68" spans="15:16" s="15" customFormat="1" ht="15">
      <c r="O68" s="15">
        <f>$D68*O10</f>
        <v>0</v>
      </c>
      <c r="P68" s="15">
        <f>$D68*P10</f>
        <v>0</v>
      </c>
    </row>
    <row r="79" ht="15">
      <c r="C79" s="15"/>
    </row>
    <row r="80" spans="6:16" ht="15">
      <c r="F80" s="15"/>
      <c r="I80" s="15"/>
      <c r="L80" s="15"/>
      <c r="M80" s="15"/>
      <c r="N80" s="15"/>
      <c r="O80" s="15"/>
      <c r="P80" s="15"/>
    </row>
    <row r="93" ht="15">
      <c r="C93" s="15"/>
    </row>
    <row r="96" ht="15">
      <c r="B96" s="15"/>
    </row>
    <row r="97" s="15" customFormat="1" ht="15"/>
    <row r="109" spans="3:16" ht="15">
      <c r="C109" s="15"/>
      <c r="F109" s="15"/>
      <c r="I109" s="15"/>
      <c r="L109" s="15"/>
      <c r="M109" s="15"/>
      <c r="N109" s="15"/>
      <c r="O109" s="15"/>
      <c r="P109" s="15"/>
    </row>
    <row r="110" spans="3:16" ht="15">
      <c r="C110" s="15"/>
      <c r="F110" s="15"/>
      <c r="I110" s="15"/>
      <c r="L110" s="15"/>
      <c r="M110" s="15"/>
      <c r="N110" s="15"/>
      <c r="O110" s="15"/>
      <c r="P110" s="15"/>
    </row>
    <row r="124" ht="15">
      <c r="C124" s="15"/>
    </row>
    <row r="127" ht="15">
      <c r="B127" s="15"/>
    </row>
    <row r="128" spans="2:18" ht="15">
      <c r="B128" s="15"/>
      <c r="F128" s="15"/>
      <c r="I128" s="15"/>
      <c r="L128" s="15"/>
      <c r="M128" s="15"/>
      <c r="N128" s="15" t="e">
        <f>$D$128*N$10</f>
        <v>#REF!</v>
      </c>
      <c r="O128" s="15">
        <f>$D$128*O$10</f>
        <v>0</v>
      </c>
      <c r="P128" s="15">
        <f>$D$128*P$10</f>
        <v>0</v>
      </c>
      <c r="R128" s="15"/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orientation="landscape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34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106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93360</v>
      </c>
      <c r="F7" s="75">
        <v>97440</v>
      </c>
      <c r="G7" s="75">
        <v>65280</v>
      </c>
      <c r="H7" s="75">
        <v>77760</v>
      </c>
      <c r="I7" s="75">
        <v>73680</v>
      </c>
      <c r="J7" s="75">
        <v>56880</v>
      </c>
      <c r="K7" s="75">
        <v>75600</v>
      </c>
      <c r="L7" s="75">
        <v>60480</v>
      </c>
      <c r="M7" s="75">
        <v>73920</v>
      </c>
      <c r="N7" s="75">
        <v>74400</v>
      </c>
      <c r="O7" s="75">
        <v>63360</v>
      </c>
      <c r="P7" s="75">
        <v>58320</v>
      </c>
      <c r="R7" s="4">
        <f>SUM(E7:P7)</f>
        <v>870480</v>
      </c>
      <c r="S7" s="15">
        <f>R7/(8760*MAX(E10:P10))</f>
        <v>0.3464779045108041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286.8</v>
      </c>
      <c r="C10" s="34"/>
      <c r="D10" s="10" t="s">
        <v>5</v>
      </c>
      <c r="E10" s="76">
        <v>278.2</v>
      </c>
      <c r="F10" s="76">
        <v>286.8</v>
      </c>
      <c r="G10" s="76">
        <v>252</v>
      </c>
      <c r="H10" s="76">
        <v>238.1</v>
      </c>
      <c r="I10" s="76">
        <v>245.5</v>
      </c>
      <c r="J10" s="76">
        <v>239.3</v>
      </c>
      <c r="K10" s="76">
        <v>230.4</v>
      </c>
      <c r="L10" s="76">
        <v>230.9</v>
      </c>
      <c r="M10" s="76">
        <v>235.9</v>
      </c>
      <c r="N10" s="76">
        <v>272.6</v>
      </c>
      <c r="O10" s="76">
        <v>191</v>
      </c>
      <c r="P10" s="76">
        <v>147.6</v>
      </c>
      <c r="R10" s="4">
        <f>SUM(E10:P10)</f>
        <v>2848.2999999999997</v>
      </c>
      <c r="W10" s="15" t="s">
        <v>46</v>
      </c>
      <c r="X10" s="20"/>
    </row>
    <row r="11" spans="2:24" ht="15">
      <c r="B11" s="34">
        <f>MAX(E11:P11)</f>
        <v>286.8</v>
      </c>
      <c r="C11" s="34"/>
      <c r="D11" s="10" t="s">
        <v>6</v>
      </c>
      <c r="E11" s="76">
        <v>278.2</v>
      </c>
      <c r="F11" s="76">
        <v>286.8</v>
      </c>
      <c r="G11" s="76">
        <v>252</v>
      </c>
      <c r="H11" s="76">
        <v>238.1</v>
      </c>
      <c r="I11" s="76">
        <v>245.5</v>
      </c>
      <c r="J11" s="76">
        <v>239.3</v>
      </c>
      <c r="K11" s="76">
        <v>230.4</v>
      </c>
      <c r="L11" s="76">
        <v>230.9</v>
      </c>
      <c r="M11" s="76">
        <v>235.9</v>
      </c>
      <c r="N11" s="76">
        <v>272.6</v>
      </c>
      <c r="O11" s="76">
        <v>191</v>
      </c>
      <c r="P11" s="76">
        <v>147.6</v>
      </c>
      <c r="R11" s="4">
        <f>SUM(E11:P11)</f>
        <v>2848.2999999999997</v>
      </c>
      <c r="W11" s="15" t="s">
        <v>47</v>
      </c>
      <c r="X11" s="20"/>
    </row>
    <row r="12" spans="2:24" ht="15">
      <c r="B12" s="34">
        <f>MAX(E12:P12)</f>
        <v>286.8</v>
      </c>
      <c r="C12" s="34"/>
      <c r="D12" s="10" t="s">
        <v>7</v>
      </c>
      <c r="E12" s="76">
        <v>278.2</v>
      </c>
      <c r="F12" s="76">
        <v>286.8</v>
      </c>
      <c r="G12" s="76">
        <v>252</v>
      </c>
      <c r="H12" s="76">
        <v>238.1</v>
      </c>
      <c r="I12" s="76">
        <v>245.5</v>
      </c>
      <c r="J12" s="76">
        <v>239.3</v>
      </c>
      <c r="K12" s="76">
        <v>230.4</v>
      </c>
      <c r="L12" s="76">
        <v>230.9</v>
      </c>
      <c r="M12" s="76">
        <v>235.9</v>
      </c>
      <c r="N12" s="76">
        <v>272.6</v>
      </c>
      <c r="O12" s="76">
        <v>191</v>
      </c>
      <c r="P12" s="76">
        <v>147.6</v>
      </c>
      <c r="R12" s="4">
        <f>SUM(E12:P12)</f>
        <v>2848.2999999999997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7277.412</v>
      </c>
      <c r="F56" s="6">
        <f t="shared" si="32"/>
        <v>7595.448</v>
      </c>
      <c r="G56" s="6">
        <f t="shared" si="32"/>
        <v>5088.576</v>
      </c>
      <c r="H56" s="6">
        <f t="shared" si="32"/>
        <v>6061.392000000001</v>
      </c>
      <c r="I56" s="6">
        <f t="shared" si="32"/>
        <v>5743.356000000001</v>
      </c>
      <c r="J56" s="6">
        <f t="shared" si="32"/>
        <v>4433.796</v>
      </c>
      <c r="K56" s="6">
        <f t="shared" si="32"/>
        <v>5893.02</v>
      </c>
      <c r="L56" s="6">
        <f t="shared" si="32"/>
        <v>4714.416</v>
      </c>
      <c r="M56" s="6">
        <f t="shared" si="32"/>
        <v>5762.064</v>
      </c>
      <c r="N56" s="6">
        <f t="shared" si="32"/>
        <v>5799.4800000000005</v>
      </c>
      <c r="O56" s="6">
        <f t="shared" si="32"/>
        <v>4938.912</v>
      </c>
      <c r="P56" s="6">
        <f t="shared" si="32"/>
        <v>4546.044</v>
      </c>
      <c r="Q56" s="47"/>
      <c r="R56" s="47">
        <f t="shared" si="31"/>
        <v>67853.916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1118.3639999999998</v>
      </c>
      <c r="F57" s="6">
        <f t="shared" si="33"/>
        <v>1152.936</v>
      </c>
      <c r="G57" s="6">
        <f t="shared" si="33"/>
        <v>1013.0399999999998</v>
      </c>
      <c r="H57" s="6">
        <f t="shared" si="33"/>
        <v>957.1619999999999</v>
      </c>
      <c r="I57" s="6">
        <f t="shared" si="33"/>
        <v>986.9099999999999</v>
      </c>
      <c r="J57" s="6">
        <f t="shared" si="33"/>
        <v>961.986</v>
      </c>
      <c r="K57" s="6">
        <f t="shared" si="33"/>
        <v>926.208</v>
      </c>
      <c r="L57" s="6">
        <f t="shared" si="33"/>
        <v>928.218</v>
      </c>
      <c r="M57" s="6">
        <f t="shared" si="33"/>
        <v>948.3179999999999</v>
      </c>
      <c r="N57" s="6">
        <f t="shared" si="33"/>
        <v>1095.8519999999999</v>
      </c>
      <c r="O57" s="6">
        <f t="shared" si="33"/>
        <v>767.8199999999999</v>
      </c>
      <c r="P57" s="6">
        <f t="shared" si="33"/>
        <v>593.3519999999999</v>
      </c>
      <c r="Q57" s="47"/>
      <c r="R57" s="47">
        <f t="shared" si="31"/>
        <v>11450.165999999997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92.05295999999998</v>
      </c>
      <c r="F59" s="6">
        <f t="shared" si="35"/>
        <v>96.07583999999999</v>
      </c>
      <c r="G59" s="6">
        <f t="shared" si="35"/>
        <v>64.36608</v>
      </c>
      <c r="H59" s="6">
        <f t="shared" si="35"/>
        <v>76.67135999999999</v>
      </c>
      <c r="I59" s="6">
        <f t="shared" si="35"/>
        <v>72.64847999999999</v>
      </c>
      <c r="J59" s="6">
        <f t="shared" si="35"/>
        <v>56.083679999999994</v>
      </c>
      <c r="K59" s="6">
        <f t="shared" si="35"/>
        <v>74.54159999999999</v>
      </c>
      <c r="L59" s="6">
        <f t="shared" si="35"/>
        <v>59.63327999999999</v>
      </c>
      <c r="M59" s="6">
        <f t="shared" si="35"/>
        <v>72.88511999999999</v>
      </c>
      <c r="N59" s="6">
        <f t="shared" si="35"/>
        <v>73.35839999999999</v>
      </c>
      <c r="O59" s="6">
        <f t="shared" si="35"/>
        <v>62.47295999999999</v>
      </c>
      <c r="P59" s="6">
        <f t="shared" si="35"/>
        <v>57.503519999999995</v>
      </c>
      <c r="Q59" s="47"/>
      <c r="R59" s="47">
        <f t="shared" si="31"/>
        <v>858.2932799999999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190.557096</v>
      </c>
      <c r="F60" s="6">
        <f t="shared" si="36"/>
        <v>198.88478400000002</v>
      </c>
      <c r="G60" s="6">
        <f t="shared" si="36"/>
        <v>133.243008</v>
      </c>
      <c r="H60" s="6">
        <f t="shared" si="36"/>
        <v>158.715936</v>
      </c>
      <c r="I60" s="6">
        <f t="shared" si="36"/>
        <v>150.388248</v>
      </c>
      <c r="J60" s="6">
        <f t="shared" si="36"/>
        <v>116.097768</v>
      </c>
      <c r="K60" s="6">
        <f t="shared" si="36"/>
        <v>154.30716</v>
      </c>
      <c r="L60" s="6">
        <f t="shared" si="36"/>
        <v>123.445728</v>
      </c>
      <c r="M60" s="6">
        <f t="shared" si="36"/>
        <v>150.87811200000002</v>
      </c>
      <c r="N60" s="6">
        <f t="shared" si="36"/>
        <v>151.85784</v>
      </c>
      <c r="O60" s="6">
        <f t="shared" si="36"/>
        <v>129.324096</v>
      </c>
      <c r="P60" s="6">
        <f t="shared" si="36"/>
        <v>119.03695200000001</v>
      </c>
      <c r="Q60" s="47"/>
      <c r="R60" s="47">
        <f t="shared" si="31"/>
        <v>1776.736728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90.5592</v>
      </c>
      <c r="F61" s="6">
        <f aca="true" t="shared" si="37" ref="F61:P61">$D61*F$7</f>
        <v>94.5168</v>
      </c>
      <c r="G61" s="6">
        <f t="shared" si="37"/>
        <v>63.321600000000004</v>
      </c>
      <c r="H61" s="6">
        <f t="shared" si="37"/>
        <v>75.4272</v>
      </c>
      <c r="I61" s="6">
        <f t="shared" si="37"/>
        <v>71.4696</v>
      </c>
      <c r="J61" s="6">
        <f t="shared" si="37"/>
        <v>55.1736</v>
      </c>
      <c r="K61" s="6">
        <f t="shared" si="37"/>
        <v>73.33200000000001</v>
      </c>
      <c r="L61" s="6">
        <f t="shared" si="37"/>
        <v>58.665600000000005</v>
      </c>
      <c r="M61" s="6">
        <f t="shared" si="37"/>
        <v>71.7024</v>
      </c>
      <c r="N61" s="6">
        <f t="shared" si="37"/>
        <v>72.168</v>
      </c>
      <c r="O61" s="6">
        <f t="shared" si="37"/>
        <v>61.4592</v>
      </c>
      <c r="P61" s="6">
        <f t="shared" si="37"/>
        <v>56.57040000000001</v>
      </c>
      <c r="Q61" s="47"/>
      <c r="R61" s="47">
        <f t="shared" si="31"/>
        <v>844.3656000000001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892.4760795519999</v>
      </c>
      <c r="F62" s="6">
        <f aca="true" t="shared" si="38" ref="F62:P62">(SUM(F55:F61)-($D60+$C60)*F$7)*$D62</f>
        <v>928.8042410079998</v>
      </c>
      <c r="G62" s="6">
        <f t="shared" si="38"/>
        <v>662.1392068959999</v>
      </c>
      <c r="H62" s="6">
        <f t="shared" si="38"/>
        <v>749.2670177320001</v>
      </c>
      <c r="I62" s="6">
        <f t="shared" si="38"/>
        <v>722.4871602760002</v>
      </c>
      <c r="J62" s="6">
        <f t="shared" si="38"/>
        <v>590.3332887159999</v>
      </c>
      <c r="K62" s="6">
        <f t="shared" si="38"/>
        <v>728.15639452</v>
      </c>
      <c r="L62" s="6">
        <f t="shared" si="38"/>
        <v>612.846265636</v>
      </c>
      <c r="M62" s="6">
        <f t="shared" si="38"/>
        <v>718.5932336440002</v>
      </c>
      <c r="N62" s="6">
        <f t="shared" si="38"/>
        <v>744.16476748</v>
      </c>
      <c r="O62" s="6">
        <f t="shared" si="38"/>
        <v>611.0558517520001</v>
      </c>
      <c r="P62" s="6">
        <f t="shared" si="38"/>
        <v>546.619906024</v>
      </c>
      <c r="Q62" s="47"/>
      <c r="R62" s="47">
        <f t="shared" si="31"/>
        <v>8506.943413235998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9746.421335551999</v>
      </c>
      <c r="F67" s="52">
        <f aca="true" t="shared" si="43" ref="F67:P67">SUM(F55:F66)</f>
        <v>10151.665665007999</v>
      </c>
      <c r="G67" s="52">
        <f t="shared" si="43"/>
        <v>7109.685894896</v>
      </c>
      <c r="H67" s="52">
        <f t="shared" si="43"/>
        <v>8163.635513732001</v>
      </c>
      <c r="I67" s="52">
        <f t="shared" si="43"/>
        <v>7832.259488276001</v>
      </c>
      <c r="J67" s="52">
        <f t="shared" si="43"/>
        <v>6298.470336715999</v>
      </c>
      <c r="K67" s="52">
        <f t="shared" si="43"/>
        <v>7934.56515452</v>
      </c>
      <c r="L67" s="52">
        <f t="shared" si="43"/>
        <v>6582.224873636</v>
      </c>
      <c r="M67" s="52">
        <f t="shared" si="43"/>
        <v>7809.440865644001</v>
      </c>
      <c r="N67" s="52">
        <f t="shared" si="43"/>
        <v>8021.881007479999</v>
      </c>
      <c r="O67" s="52">
        <f t="shared" si="43"/>
        <v>6656.044107752001</v>
      </c>
      <c r="P67" s="52">
        <f t="shared" si="43"/>
        <v>6004.126778024</v>
      </c>
      <c r="Q67" s="53"/>
      <c r="R67" s="54">
        <f>SUM(E67:P67)</f>
        <v>92310.421021236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6549.670800000001</v>
      </c>
      <c r="F72" s="6">
        <f t="shared" si="46"/>
        <v>6835.903200000001</v>
      </c>
      <c r="G72" s="6">
        <f t="shared" si="46"/>
        <v>4579.718400000001</v>
      </c>
      <c r="H72" s="6">
        <f t="shared" si="46"/>
        <v>5455.252800000001</v>
      </c>
      <c r="I72" s="6">
        <f t="shared" si="46"/>
        <v>5169.0204</v>
      </c>
      <c r="J72" s="6">
        <f t="shared" si="46"/>
        <v>3990.4164000000005</v>
      </c>
      <c r="K72" s="6">
        <f t="shared" si="46"/>
        <v>5303.718000000001</v>
      </c>
      <c r="L72" s="6">
        <f t="shared" si="46"/>
        <v>4242.974400000001</v>
      </c>
      <c r="M72" s="6">
        <f t="shared" si="46"/>
        <v>5185.8576</v>
      </c>
      <c r="N72" s="6">
        <f t="shared" si="46"/>
        <v>5219.532000000001</v>
      </c>
      <c r="O72" s="6">
        <f t="shared" si="46"/>
        <v>4445.0208</v>
      </c>
      <c r="P72" s="6">
        <f t="shared" si="46"/>
        <v>4091.4396000000006</v>
      </c>
      <c r="Q72" s="47"/>
      <c r="R72" s="47">
        <f t="shared" si="45"/>
        <v>61068.52440000001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1006.5275999999999</v>
      </c>
      <c r="F73" s="6">
        <f t="shared" si="47"/>
        <v>1037.6424</v>
      </c>
      <c r="G73" s="6">
        <f t="shared" si="47"/>
        <v>911.736</v>
      </c>
      <c r="H73" s="6">
        <f t="shared" si="47"/>
        <v>861.4458</v>
      </c>
      <c r="I73" s="6">
        <f t="shared" si="47"/>
        <v>888.2189999999999</v>
      </c>
      <c r="J73" s="6">
        <f t="shared" si="47"/>
        <v>865.7874</v>
      </c>
      <c r="K73" s="6">
        <f t="shared" si="47"/>
        <v>833.5871999999999</v>
      </c>
      <c r="L73" s="6">
        <f t="shared" si="47"/>
        <v>835.3962</v>
      </c>
      <c r="M73" s="6">
        <f t="shared" si="47"/>
        <v>853.4861999999999</v>
      </c>
      <c r="N73" s="6">
        <f t="shared" si="47"/>
        <v>986.2668000000001</v>
      </c>
      <c r="O73" s="6">
        <f t="shared" si="47"/>
        <v>691.038</v>
      </c>
      <c r="P73" s="6">
        <f t="shared" si="47"/>
        <v>534.0168</v>
      </c>
      <c r="Q73" s="47"/>
      <c r="R73" s="47">
        <f t="shared" si="45"/>
        <v>10305.1494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190.557096</v>
      </c>
      <c r="F75" s="6">
        <f t="shared" si="49"/>
        <v>198.88478400000002</v>
      </c>
      <c r="G75" s="6">
        <f t="shared" si="49"/>
        <v>133.243008</v>
      </c>
      <c r="H75" s="6">
        <f t="shared" si="49"/>
        <v>158.715936</v>
      </c>
      <c r="I75" s="6">
        <f t="shared" si="49"/>
        <v>150.388248</v>
      </c>
      <c r="J75" s="6">
        <f t="shared" si="49"/>
        <v>116.097768</v>
      </c>
      <c r="K75" s="6">
        <f t="shared" si="49"/>
        <v>154.30716</v>
      </c>
      <c r="L75" s="6">
        <f t="shared" si="49"/>
        <v>123.445728</v>
      </c>
      <c r="M75" s="6">
        <f t="shared" si="49"/>
        <v>150.87811200000002</v>
      </c>
      <c r="N75" s="6">
        <f t="shared" si="49"/>
        <v>151.85784</v>
      </c>
      <c r="O75" s="6">
        <f t="shared" si="49"/>
        <v>129.324096</v>
      </c>
      <c r="P75" s="6">
        <f t="shared" si="49"/>
        <v>119.03695200000001</v>
      </c>
      <c r="Q75" s="47"/>
      <c r="R75" s="47">
        <f t="shared" si="45"/>
        <v>1776.736728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92.05295999999998</v>
      </c>
      <c r="F76" s="6">
        <f t="shared" si="50"/>
        <v>96.07583999999999</v>
      </c>
      <c r="G76" s="6">
        <f t="shared" si="50"/>
        <v>64.36608</v>
      </c>
      <c r="H76" s="6">
        <f t="shared" si="50"/>
        <v>76.67135999999999</v>
      </c>
      <c r="I76" s="6">
        <f t="shared" si="50"/>
        <v>72.64847999999999</v>
      </c>
      <c r="J76" s="6">
        <f t="shared" si="50"/>
        <v>56.083679999999994</v>
      </c>
      <c r="K76" s="6">
        <f t="shared" si="50"/>
        <v>74.54159999999999</v>
      </c>
      <c r="L76" s="6">
        <f t="shared" si="50"/>
        <v>59.63327999999999</v>
      </c>
      <c r="M76" s="6">
        <f t="shared" si="50"/>
        <v>72.88511999999999</v>
      </c>
      <c r="N76" s="6">
        <f t="shared" si="50"/>
        <v>73.35839999999999</v>
      </c>
      <c r="O76" s="6">
        <f t="shared" si="50"/>
        <v>62.47295999999999</v>
      </c>
      <c r="P76" s="6">
        <f t="shared" si="50"/>
        <v>57.503519999999995</v>
      </c>
      <c r="Q76" s="47"/>
      <c r="R76" s="47">
        <f t="shared" si="45"/>
        <v>858.2932799999999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110.35152000000001</v>
      </c>
      <c r="F77" s="6">
        <f aca="true" t="shared" si="51" ref="F77:P77">$D77*F$7</f>
        <v>115.17408</v>
      </c>
      <c r="G77" s="6">
        <f t="shared" si="51"/>
        <v>77.16096</v>
      </c>
      <c r="H77" s="6">
        <f t="shared" si="51"/>
        <v>91.91232000000001</v>
      </c>
      <c r="I77" s="6">
        <f t="shared" si="51"/>
        <v>87.08976000000001</v>
      </c>
      <c r="J77" s="6">
        <f t="shared" si="51"/>
        <v>67.23216000000001</v>
      </c>
      <c r="K77" s="6">
        <f t="shared" si="51"/>
        <v>89.3592</v>
      </c>
      <c r="L77" s="6">
        <f t="shared" si="51"/>
        <v>71.48736000000001</v>
      </c>
      <c r="M77" s="6">
        <f t="shared" si="51"/>
        <v>87.37344</v>
      </c>
      <c r="N77" s="6">
        <f t="shared" si="51"/>
        <v>87.94080000000001</v>
      </c>
      <c r="O77" s="6">
        <f t="shared" si="51"/>
        <v>74.89152</v>
      </c>
      <c r="P77" s="6">
        <f t="shared" si="51"/>
        <v>68.93424</v>
      </c>
      <c r="Q77" s="47"/>
      <c r="R77" s="47">
        <f t="shared" si="45"/>
        <v>1028.90736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129.7704</v>
      </c>
      <c r="F80" s="6">
        <f t="shared" si="54"/>
        <v>135.4416</v>
      </c>
      <c r="G80" s="6">
        <f t="shared" si="54"/>
        <v>90.7392</v>
      </c>
      <c r="H80" s="6">
        <f t="shared" si="54"/>
        <v>108.0864</v>
      </c>
      <c r="I80" s="6">
        <f t="shared" si="54"/>
        <v>102.4152</v>
      </c>
      <c r="J80" s="6">
        <f t="shared" si="54"/>
        <v>79.0632</v>
      </c>
      <c r="K80" s="6">
        <f t="shared" si="54"/>
        <v>105.084</v>
      </c>
      <c r="L80" s="6">
        <f t="shared" si="54"/>
        <v>84.0672</v>
      </c>
      <c r="M80" s="6">
        <f t="shared" si="54"/>
        <v>102.7488</v>
      </c>
      <c r="N80" s="6">
        <f t="shared" si="54"/>
        <v>103.416</v>
      </c>
      <c r="O80" s="6">
        <f t="shared" si="54"/>
        <v>88.07039999999999</v>
      </c>
      <c r="P80" s="6">
        <f t="shared" si="54"/>
        <v>81.06479999999999</v>
      </c>
      <c r="Q80" s="47"/>
      <c r="R80" s="47">
        <f t="shared" si="45"/>
        <v>1209.9672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125.19</v>
      </c>
      <c r="F81" s="6">
        <f t="shared" si="55"/>
        <v>129.06</v>
      </c>
      <c r="G81" s="6">
        <f t="shared" si="55"/>
        <v>113.4</v>
      </c>
      <c r="H81" s="6">
        <f t="shared" si="55"/>
        <v>107.145</v>
      </c>
      <c r="I81" s="6">
        <f t="shared" si="55"/>
        <v>110.47500000000001</v>
      </c>
      <c r="J81" s="6">
        <f t="shared" si="55"/>
        <v>107.685</v>
      </c>
      <c r="K81" s="6">
        <f t="shared" si="55"/>
        <v>103.68</v>
      </c>
      <c r="L81" s="6">
        <f t="shared" si="55"/>
        <v>103.905</v>
      </c>
      <c r="M81" s="6">
        <f t="shared" si="55"/>
        <v>106.155</v>
      </c>
      <c r="N81" s="6">
        <f t="shared" si="55"/>
        <v>122.67000000000002</v>
      </c>
      <c r="O81" s="6">
        <f t="shared" si="55"/>
        <v>85.95</v>
      </c>
      <c r="P81" s="6">
        <f t="shared" si="55"/>
        <v>66.42</v>
      </c>
      <c r="Q81" s="47"/>
      <c r="R81" s="47">
        <f t="shared" si="45"/>
        <v>1281.7350000000001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339.3497802761602</v>
      </c>
      <c r="F82" s="6">
        <f t="shared" si="56"/>
        <v>353.04651332264</v>
      </c>
      <c r="G82" s="6">
        <f t="shared" si="56"/>
        <v>253.44404631607998</v>
      </c>
      <c r="H82" s="6">
        <f t="shared" si="56"/>
        <v>285.15079222496007</v>
      </c>
      <c r="I82" s="6">
        <f t="shared" si="56"/>
        <v>275.50884631447997</v>
      </c>
      <c r="J82" s="6">
        <f t="shared" si="56"/>
        <v>226.5135017544799</v>
      </c>
      <c r="K82" s="6">
        <f t="shared" si="56"/>
        <v>277.10203975999997</v>
      </c>
      <c r="L82" s="6">
        <f t="shared" si="56"/>
        <v>234.54704876768002</v>
      </c>
      <c r="M82" s="6">
        <f t="shared" si="56"/>
        <v>273.75346138352006</v>
      </c>
      <c r="N82" s="6">
        <f t="shared" si="56"/>
        <v>284.4091040780001</v>
      </c>
      <c r="O82" s="6">
        <f t="shared" si="56"/>
        <v>232.56527155496</v>
      </c>
      <c r="P82" s="6">
        <f t="shared" si="56"/>
        <v>207.33942708512006</v>
      </c>
      <c r="Q82" s="47"/>
      <c r="R82" s="47">
        <f t="shared" si="45"/>
        <v>3242.72983283808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533.9814262505603</v>
      </c>
      <c r="F83" s="6">
        <f t="shared" si="57"/>
        <v>555.5338228402401</v>
      </c>
      <c r="G83" s="6">
        <f t="shared" si="57"/>
        <v>398.80507132328</v>
      </c>
      <c r="H83" s="6">
        <f t="shared" si="57"/>
        <v>448.69699519136014</v>
      </c>
      <c r="I83" s="6">
        <f t="shared" si="57"/>
        <v>433.52497997768</v>
      </c>
      <c r="J83" s="6">
        <f t="shared" si="57"/>
        <v>356.4287050176799</v>
      </c>
      <c r="K83" s="6">
        <f t="shared" si="57"/>
        <v>436.03193816</v>
      </c>
      <c r="L83" s="6">
        <f t="shared" si="57"/>
        <v>369.06983561888006</v>
      </c>
      <c r="M83" s="6">
        <f t="shared" si="57"/>
        <v>430.7628065403201</v>
      </c>
      <c r="N83" s="6">
        <f t="shared" si="57"/>
        <v>447.52991709800017</v>
      </c>
      <c r="O83" s="6">
        <f t="shared" si="57"/>
        <v>365.95142422136</v>
      </c>
      <c r="P83" s="6">
        <f t="shared" si="57"/>
        <v>326.25747658592013</v>
      </c>
      <c r="R83" s="47">
        <f t="shared" si="45"/>
        <v>5102.574398825282</v>
      </c>
      <c r="S83" s="20"/>
    </row>
    <row r="84" spans="1:18" ht="15.75" thickBot="1">
      <c r="A84" s="40"/>
      <c r="D84" s="9" t="s">
        <v>24</v>
      </c>
      <c r="E84" s="52">
        <f>SUM(E71:E83)</f>
        <v>9162.601582526722</v>
      </c>
      <c r="F84" s="52">
        <f aca="true" t="shared" si="58" ref="F84:P84">SUM(F71:F83)</f>
        <v>9541.912240162881</v>
      </c>
      <c r="G84" s="52">
        <f t="shared" si="58"/>
        <v>6707.76276563936</v>
      </c>
      <c r="H84" s="52">
        <f t="shared" si="58"/>
        <v>7678.227403416322</v>
      </c>
      <c r="I84" s="52">
        <f t="shared" si="58"/>
        <v>7374.439914292161</v>
      </c>
      <c r="J84" s="52">
        <f t="shared" si="58"/>
        <v>5950.457814772159</v>
      </c>
      <c r="K84" s="52">
        <f t="shared" si="58"/>
        <v>7462.56113792</v>
      </c>
      <c r="L84" s="52">
        <f t="shared" si="58"/>
        <v>6209.676052386561</v>
      </c>
      <c r="M84" s="52">
        <f t="shared" si="58"/>
        <v>7349.050539923841</v>
      </c>
      <c r="N84" s="52">
        <f t="shared" si="58"/>
        <v>7562.130861176001</v>
      </c>
      <c r="O84" s="52">
        <f t="shared" si="58"/>
        <v>6260.434471776321</v>
      </c>
      <c r="P84" s="52">
        <f t="shared" si="58"/>
        <v>5637.162815671041</v>
      </c>
      <c r="Q84" s="53"/>
      <c r="R84" s="54">
        <f>SUM(E84:P84)</f>
        <v>86896.41759966336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64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33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35">
        <v>45625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R7" s="4">
        <f>SUM(E7:P7)</f>
        <v>45625</v>
      </c>
      <c r="S7" s="15">
        <f>R7/(8760*MAX(E10:P10))</f>
        <v>0.020833333333333332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250</v>
      </c>
      <c r="C10" s="34"/>
      <c r="D10" s="10" t="s">
        <v>5</v>
      </c>
      <c r="E10" s="35">
        <v>250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R10" s="4">
        <f>SUM(E10:P10)</f>
        <v>250</v>
      </c>
      <c r="W10" s="15" t="s">
        <v>46</v>
      </c>
      <c r="X10" s="20"/>
    </row>
    <row r="11" spans="2:24" ht="15">
      <c r="B11" s="34">
        <f>MAX(E11:P11)</f>
        <v>0</v>
      </c>
      <c r="C11" s="34"/>
      <c r="D11" s="10" t="s">
        <v>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R11" s="4">
        <f>SUM(E11:P11)</f>
        <v>0</v>
      </c>
      <c r="W11" s="15" t="s">
        <v>47</v>
      </c>
      <c r="X11" s="20"/>
    </row>
    <row r="12" spans="2:24" ht="15">
      <c r="B12" s="34">
        <f>MAX(E12:P12)</f>
        <v>0</v>
      </c>
      <c r="C12" s="34"/>
      <c r="D12" s="10" t="s">
        <v>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R12" s="4">
        <f>SUM(E12:P12)</f>
        <v>0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43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0</v>
      </c>
      <c r="G37" s="6">
        <f t="shared" si="15"/>
        <v>0</v>
      </c>
      <c r="H37" s="6">
        <f t="shared" si="15"/>
        <v>0</v>
      </c>
      <c r="I37" s="6">
        <f t="shared" si="15"/>
        <v>0</v>
      </c>
      <c r="J37" s="6">
        <f t="shared" si="15"/>
        <v>0</v>
      </c>
      <c r="K37" s="6">
        <f t="shared" si="15"/>
        <v>0</v>
      </c>
      <c r="L37" s="6">
        <f t="shared" si="15"/>
        <v>0</v>
      </c>
      <c r="M37" s="6">
        <f t="shared" si="15"/>
        <v>0</v>
      </c>
      <c r="N37" s="6">
        <f t="shared" si="15"/>
        <v>0</v>
      </c>
      <c r="O37" s="6">
        <f t="shared" si="15"/>
        <v>0</v>
      </c>
      <c r="P37" s="6">
        <f t="shared" si="15"/>
        <v>0</v>
      </c>
      <c r="Q37" s="47"/>
      <c r="R37" s="47">
        <f aca="true" t="shared" si="16" ref="R37:R49">SUM(E37:P37)</f>
        <v>85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0</v>
      </c>
      <c r="G50" s="52">
        <f t="shared" si="29"/>
        <v>0</v>
      </c>
      <c r="H50" s="52">
        <f t="shared" si="29"/>
        <v>0</v>
      </c>
      <c r="I50" s="52">
        <f t="shared" si="29"/>
        <v>0</v>
      </c>
      <c r="J50" s="52">
        <f t="shared" si="29"/>
        <v>0</v>
      </c>
      <c r="K50" s="52">
        <f t="shared" si="29"/>
        <v>0</v>
      </c>
      <c r="L50" s="52">
        <f t="shared" si="29"/>
        <v>0</v>
      </c>
      <c r="M50" s="52">
        <f t="shared" si="29"/>
        <v>0</v>
      </c>
      <c r="N50" s="52">
        <f t="shared" si="29"/>
        <v>0</v>
      </c>
      <c r="O50" s="52">
        <f t="shared" si="29"/>
        <v>0</v>
      </c>
      <c r="P50" s="52">
        <f t="shared" si="29"/>
        <v>0</v>
      </c>
      <c r="Q50" s="53"/>
      <c r="R50" s="54">
        <f>SUM(E50:P50)</f>
        <v>85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0</v>
      </c>
      <c r="G55" s="6">
        <f t="shared" si="30"/>
        <v>0</v>
      </c>
      <c r="H55" s="6">
        <f t="shared" si="30"/>
        <v>0</v>
      </c>
      <c r="I55" s="6">
        <f t="shared" si="30"/>
        <v>0</v>
      </c>
      <c r="J55" s="6">
        <f t="shared" si="30"/>
        <v>0</v>
      </c>
      <c r="K55" s="6">
        <f t="shared" si="30"/>
        <v>0</v>
      </c>
      <c r="L55" s="6">
        <f t="shared" si="30"/>
        <v>0</v>
      </c>
      <c r="M55" s="6">
        <f t="shared" si="30"/>
        <v>0</v>
      </c>
      <c r="N55" s="6">
        <f t="shared" si="30"/>
        <v>0</v>
      </c>
      <c r="O55" s="6">
        <f t="shared" si="30"/>
        <v>0</v>
      </c>
      <c r="P55" s="6">
        <f t="shared" si="30"/>
        <v>0</v>
      </c>
      <c r="Q55" s="47"/>
      <c r="R55" s="47">
        <f aca="true" t="shared" si="31" ref="R55:R66">SUM(E55:P55)</f>
        <v>85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3556.4687500000005</v>
      </c>
      <c r="F56" s="6">
        <f t="shared" si="32"/>
        <v>0</v>
      </c>
      <c r="G56" s="6">
        <f t="shared" si="32"/>
        <v>0</v>
      </c>
      <c r="H56" s="6">
        <f t="shared" si="32"/>
        <v>0</v>
      </c>
      <c r="I56" s="6">
        <f t="shared" si="32"/>
        <v>0</v>
      </c>
      <c r="J56" s="6">
        <f t="shared" si="32"/>
        <v>0</v>
      </c>
      <c r="K56" s="6">
        <f t="shared" si="32"/>
        <v>0</v>
      </c>
      <c r="L56" s="6">
        <f t="shared" si="32"/>
        <v>0</v>
      </c>
      <c r="M56" s="6">
        <f t="shared" si="32"/>
        <v>0</v>
      </c>
      <c r="N56" s="6">
        <f t="shared" si="32"/>
        <v>0</v>
      </c>
      <c r="O56" s="6">
        <f t="shared" si="32"/>
        <v>0</v>
      </c>
      <c r="P56" s="6">
        <f t="shared" si="32"/>
        <v>0</v>
      </c>
      <c r="Q56" s="47"/>
      <c r="R56" s="47">
        <f t="shared" si="31"/>
        <v>3556.4687500000005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1004.9999999999999</v>
      </c>
      <c r="F57" s="6">
        <f t="shared" si="33"/>
        <v>0</v>
      </c>
      <c r="G57" s="6">
        <f t="shared" si="33"/>
        <v>0</v>
      </c>
      <c r="H57" s="6">
        <f t="shared" si="33"/>
        <v>0</v>
      </c>
      <c r="I57" s="6">
        <f t="shared" si="33"/>
        <v>0</v>
      </c>
      <c r="J57" s="6">
        <f t="shared" si="33"/>
        <v>0</v>
      </c>
      <c r="K57" s="6">
        <f t="shared" si="33"/>
        <v>0</v>
      </c>
      <c r="L57" s="6">
        <f t="shared" si="33"/>
        <v>0</v>
      </c>
      <c r="M57" s="6">
        <f t="shared" si="33"/>
        <v>0</v>
      </c>
      <c r="N57" s="6">
        <f t="shared" si="33"/>
        <v>0</v>
      </c>
      <c r="O57" s="6">
        <f t="shared" si="33"/>
        <v>0</v>
      </c>
      <c r="P57" s="6">
        <f t="shared" si="33"/>
        <v>0</v>
      </c>
      <c r="Q57" s="47"/>
      <c r="R57" s="47">
        <f t="shared" si="31"/>
        <v>1004.9999999999999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44.98625</v>
      </c>
      <c r="F59" s="6">
        <f t="shared" si="35"/>
        <v>0</v>
      </c>
      <c r="G59" s="6">
        <f t="shared" si="35"/>
        <v>0</v>
      </c>
      <c r="H59" s="6">
        <f t="shared" si="35"/>
        <v>0</v>
      </c>
      <c r="I59" s="6">
        <f t="shared" si="35"/>
        <v>0</v>
      </c>
      <c r="J59" s="6">
        <f t="shared" si="35"/>
        <v>0</v>
      </c>
      <c r="K59" s="6">
        <f t="shared" si="35"/>
        <v>0</v>
      </c>
      <c r="L59" s="6">
        <f t="shared" si="35"/>
        <v>0</v>
      </c>
      <c r="M59" s="6">
        <f t="shared" si="35"/>
        <v>0</v>
      </c>
      <c r="N59" s="6">
        <f t="shared" si="35"/>
        <v>0</v>
      </c>
      <c r="O59" s="6">
        <f t="shared" si="35"/>
        <v>0</v>
      </c>
      <c r="P59" s="6">
        <f t="shared" si="35"/>
        <v>0</v>
      </c>
      <c r="Q59" s="47"/>
      <c r="R59" s="47">
        <f t="shared" si="31"/>
        <v>44.98625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93.12518750000001</v>
      </c>
      <c r="F60" s="6">
        <f t="shared" si="36"/>
        <v>0</v>
      </c>
      <c r="G60" s="6">
        <f t="shared" si="36"/>
        <v>0</v>
      </c>
      <c r="H60" s="6">
        <f t="shared" si="36"/>
        <v>0</v>
      </c>
      <c r="I60" s="6">
        <f t="shared" si="36"/>
        <v>0</v>
      </c>
      <c r="J60" s="6">
        <f t="shared" si="36"/>
        <v>0</v>
      </c>
      <c r="K60" s="6">
        <f t="shared" si="36"/>
        <v>0</v>
      </c>
      <c r="L60" s="6">
        <f t="shared" si="36"/>
        <v>0</v>
      </c>
      <c r="M60" s="6">
        <f t="shared" si="36"/>
        <v>0</v>
      </c>
      <c r="N60" s="6">
        <f t="shared" si="36"/>
        <v>0</v>
      </c>
      <c r="O60" s="6">
        <f t="shared" si="36"/>
        <v>0</v>
      </c>
      <c r="P60" s="6">
        <f t="shared" si="36"/>
        <v>0</v>
      </c>
      <c r="Q60" s="47"/>
      <c r="R60" s="47">
        <f t="shared" si="31"/>
        <v>93.12518750000001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44.25625</v>
      </c>
      <c r="F61" s="6">
        <f aca="true" t="shared" si="37" ref="F61:P61">$D61*F$7</f>
        <v>0</v>
      </c>
      <c r="G61" s="6">
        <f t="shared" si="37"/>
        <v>0</v>
      </c>
      <c r="H61" s="6">
        <f t="shared" si="37"/>
        <v>0</v>
      </c>
      <c r="I61" s="6">
        <f t="shared" si="37"/>
        <v>0</v>
      </c>
      <c r="J61" s="6">
        <f t="shared" si="37"/>
        <v>0</v>
      </c>
      <c r="K61" s="6">
        <f t="shared" si="37"/>
        <v>0</v>
      </c>
      <c r="L61" s="6">
        <f t="shared" si="37"/>
        <v>0</v>
      </c>
      <c r="M61" s="6">
        <f t="shared" si="37"/>
        <v>0</v>
      </c>
      <c r="N61" s="6">
        <f t="shared" si="37"/>
        <v>0</v>
      </c>
      <c r="O61" s="6">
        <f t="shared" si="37"/>
        <v>0</v>
      </c>
      <c r="P61" s="6">
        <f t="shared" si="37"/>
        <v>0</v>
      </c>
      <c r="Q61" s="47"/>
      <c r="R61" s="47">
        <f t="shared" si="31"/>
        <v>44.25625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510.66224756250006</v>
      </c>
      <c r="F62" s="6">
        <f aca="true" t="shared" si="38" ref="F62:P62">(SUM(F55:F61)-($D60+$C60)*F$7)*$D62</f>
        <v>0</v>
      </c>
      <c r="G62" s="6">
        <f t="shared" si="38"/>
        <v>0</v>
      </c>
      <c r="H62" s="6">
        <f t="shared" si="38"/>
        <v>0</v>
      </c>
      <c r="I62" s="6">
        <f t="shared" si="38"/>
        <v>0</v>
      </c>
      <c r="J62" s="6">
        <f t="shared" si="38"/>
        <v>0</v>
      </c>
      <c r="K62" s="6">
        <f t="shared" si="38"/>
        <v>0</v>
      </c>
      <c r="L62" s="6">
        <f t="shared" si="38"/>
        <v>0</v>
      </c>
      <c r="M62" s="6">
        <f t="shared" si="38"/>
        <v>0</v>
      </c>
      <c r="N62" s="6">
        <f t="shared" si="38"/>
        <v>0</v>
      </c>
      <c r="O62" s="6">
        <f t="shared" si="38"/>
        <v>0</v>
      </c>
      <c r="P62" s="6">
        <f t="shared" si="38"/>
        <v>0</v>
      </c>
      <c r="Q62" s="47"/>
      <c r="R62" s="47">
        <f t="shared" si="31"/>
        <v>510.66224756250006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5339.4986850625</v>
      </c>
      <c r="F67" s="52">
        <f aca="true" t="shared" si="43" ref="F67:P67">SUM(F55:F66)</f>
        <v>0</v>
      </c>
      <c r="G67" s="52">
        <f t="shared" si="43"/>
        <v>0</v>
      </c>
      <c r="H67" s="52">
        <f t="shared" si="43"/>
        <v>0</v>
      </c>
      <c r="I67" s="52">
        <f t="shared" si="43"/>
        <v>0</v>
      </c>
      <c r="J67" s="52">
        <f t="shared" si="43"/>
        <v>0</v>
      </c>
      <c r="K67" s="52">
        <f t="shared" si="43"/>
        <v>0</v>
      </c>
      <c r="L67" s="52">
        <f t="shared" si="43"/>
        <v>0</v>
      </c>
      <c r="M67" s="52">
        <f t="shared" si="43"/>
        <v>0</v>
      </c>
      <c r="N67" s="52">
        <f t="shared" si="43"/>
        <v>0</v>
      </c>
      <c r="O67" s="52">
        <f t="shared" si="43"/>
        <v>0</v>
      </c>
      <c r="P67" s="52">
        <f t="shared" si="43"/>
        <v>0</v>
      </c>
      <c r="Q67" s="53"/>
      <c r="R67" s="54">
        <f>SUM(E67:P67)</f>
        <v>5339.4986850625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0</v>
      </c>
      <c r="G71" s="6">
        <f t="shared" si="44"/>
        <v>0</v>
      </c>
      <c r="H71" s="6">
        <f t="shared" si="44"/>
        <v>0</v>
      </c>
      <c r="I71" s="6">
        <f t="shared" si="44"/>
        <v>0</v>
      </c>
      <c r="J71" s="6">
        <f t="shared" si="44"/>
        <v>0</v>
      </c>
      <c r="K71" s="6">
        <f t="shared" si="44"/>
        <v>0</v>
      </c>
      <c r="L71" s="6">
        <f t="shared" si="44"/>
        <v>0</v>
      </c>
      <c r="M71" s="6">
        <f t="shared" si="44"/>
        <v>0</v>
      </c>
      <c r="N71" s="6">
        <f t="shared" si="44"/>
        <v>0</v>
      </c>
      <c r="O71" s="6">
        <f t="shared" si="44"/>
        <v>0</v>
      </c>
      <c r="P71" s="6">
        <f t="shared" si="44"/>
        <v>0</v>
      </c>
      <c r="Q71" s="47"/>
      <c r="R71" s="47">
        <f aca="true" t="shared" si="45" ref="R71:R83">SUM(E71:P71)</f>
        <v>85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3200.8218750000005</v>
      </c>
      <c r="F72" s="6">
        <f t="shared" si="46"/>
        <v>0</v>
      </c>
      <c r="G72" s="6">
        <f t="shared" si="46"/>
        <v>0</v>
      </c>
      <c r="H72" s="6">
        <f t="shared" si="46"/>
        <v>0</v>
      </c>
      <c r="I72" s="6">
        <f t="shared" si="46"/>
        <v>0</v>
      </c>
      <c r="J72" s="6">
        <f t="shared" si="46"/>
        <v>0</v>
      </c>
      <c r="K72" s="6">
        <f t="shared" si="46"/>
        <v>0</v>
      </c>
      <c r="L72" s="6">
        <f t="shared" si="46"/>
        <v>0</v>
      </c>
      <c r="M72" s="6">
        <f t="shared" si="46"/>
        <v>0</v>
      </c>
      <c r="N72" s="6">
        <f t="shared" si="46"/>
        <v>0</v>
      </c>
      <c r="O72" s="6">
        <f t="shared" si="46"/>
        <v>0</v>
      </c>
      <c r="P72" s="6">
        <f t="shared" si="46"/>
        <v>0</v>
      </c>
      <c r="Q72" s="47"/>
      <c r="R72" s="47">
        <f t="shared" si="45"/>
        <v>3200.8218750000005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904.5</v>
      </c>
      <c r="F73" s="6">
        <f t="shared" si="47"/>
        <v>0</v>
      </c>
      <c r="G73" s="6">
        <f t="shared" si="47"/>
        <v>0</v>
      </c>
      <c r="H73" s="6">
        <f t="shared" si="47"/>
        <v>0</v>
      </c>
      <c r="I73" s="6">
        <f t="shared" si="47"/>
        <v>0</v>
      </c>
      <c r="J73" s="6">
        <f t="shared" si="47"/>
        <v>0</v>
      </c>
      <c r="K73" s="6">
        <f t="shared" si="47"/>
        <v>0</v>
      </c>
      <c r="L73" s="6">
        <f t="shared" si="47"/>
        <v>0</v>
      </c>
      <c r="M73" s="6">
        <f t="shared" si="47"/>
        <v>0</v>
      </c>
      <c r="N73" s="6">
        <f t="shared" si="47"/>
        <v>0</v>
      </c>
      <c r="O73" s="6">
        <f t="shared" si="47"/>
        <v>0</v>
      </c>
      <c r="P73" s="6">
        <f t="shared" si="47"/>
        <v>0</v>
      </c>
      <c r="Q73" s="47"/>
      <c r="R73" s="47">
        <f t="shared" si="45"/>
        <v>904.5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93.12518750000001</v>
      </c>
      <c r="F75" s="6">
        <f t="shared" si="49"/>
        <v>0</v>
      </c>
      <c r="G75" s="6">
        <f t="shared" si="49"/>
        <v>0</v>
      </c>
      <c r="H75" s="6">
        <f t="shared" si="49"/>
        <v>0</v>
      </c>
      <c r="I75" s="6">
        <f t="shared" si="49"/>
        <v>0</v>
      </c>
      <c r="J75" s="6">
        <f t="shared" si="49"/>
        <v>0</v>
      </c>
      <c r="K75" s="6">
        <f t="shared" si="49"/>
        <v>0</v>
      </c>
      <c r="L75" s="6">
        <f t="shared" si="49"/>
        <v>0</v>
      </c>
      <c r="M75" s="6">
        <f t="shared" si="49"/>
        <v>0</v>
      </c>
      <c r="N75" s="6">
        <f t="shared" si="49"/>
        <v>0</v>
      </c>
      <c r="O75" s="6">
        <f t="shared" si="49"/>
        <v>0</v>
      </c>
      <c r="P75" s="6">
        <f t="shared" si="49"/>
        <v>0</v>
      </c>
      <c r="Q75" s="47"/>
      <c r="R75" s="47">
        <f t="shared" si="45"/>
        <v>93.12518750000001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44.98625</v>
      </c>
      <c r="F76" s="6">
        <f t="shared" si="50"/>
        <v>0</v>
      </c>
      <c r="G76" s="6">
        <f t="shared" si="50"/>
        <v>0</v>
      </c>
      <c r="H76" s="6">
        <f t="shared" si="50"/>
        <v>0</v>
      </c>
      <c r="I76" s="6">
        <f t="shared" si="50"/>
        <v>0</v>
      </c>
      <c r="J76" s="6">
        <f t="shared" si="50"/>
        <v>0</v>
      </c>
      <c r="K76" s="6">
        <f t="shared" si="50"/>
        <v>0</v>
      </c>
      <c r="L76" s="6">
        <f t="shared" si="50"/>
        <v>0</v>
      </c>
      <c r="M76" s="6">
        <f t="shared" si="50"/>
        <v>0</v>
      </c>
      <c r="N76" s="6">
        <f t="shared" si="50"/>
        <v>0</v>
      </c>
      <c r="O76" s="6">
        <f t="shared" si="50"/>
        <v>0</v>
      </c>
      <c r="P76" s="6">
        <f t="shared" si="50"/>
        <v>0</v>
      </c>
      <c r="Q76" s="47"/>
      <c r="R76" s="47">
        <f t="shared" si="45"/>
        <v>44.98625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53.92875000000001</v>
      </c>
      <c r="F77" s="6">
        <f aca="true" t="shared" si="51" ref="F77:P77">$D77*F$7</f>
        <v>0</v>
      </c>
      <c r="G77" s="6">
        <f t="shared" si="51"/>
        <v>0</v>
      </c>
      <c r="H77" s="6">
        <f t="shared" si="51"/>
        <v>0</v>
      </c>
      <c r="I77" s="6">
        <f t="shared" si="51"/>
        <v>0</v>
      </c>
      <c r="J77" s="6">
        <f t="shared" si="51"/>
        <v>0</v>
      </c>
      <c r="K77" s="6">
        <f t="shared" si="51"/>
        <v>0</v>
      </c>
      <c r="L77" s="6">
        <f t="shared" si="51"/>
        <v>0</v>
      </c>
      <c r="M77" s="6">
        <f t="shared" si="51"/>
        <v>0</v>
      </c>
      <c r="N77" s="6">
        <f t="shared" si="51"/>
        <v>0</v>
      </c>
      <c r="O77" s="6">
        <f t="shared" si="51"/>
        <v>0</v>
      </c>
      <c r="P77" s="6">
        <f t="shared" si="51"/>
        <v>0</v>
      </c>
      <c r="Q77" s="47"/>
      <c r="R77" s="47">
        <f t="shared" si="45"/>
        <v>53.92875000000001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</v>
      </c>
      <c r="G79" s="6">
        <f t="shared" si="53"/>
        <v>0</v>
      </c>
      <c r="H79" s="6">
        <f t="shared" si="53"/>
        <v>0</v>
      </c>
      <c r="I79" s="6">
        <f t="shared" si="53"/>
        <v>0</v>
      </c>
      <c r="J79" s="6">
        <f t="shared" si="53"/>
        <v>0</v>
      </c>
      <c r="K79" s="6">
        <f t="shared" si="53"/>
        <v>0</v>
      </c>
      <c r="L79" s="6">
        <f t="shared" si="53"/>
        <v>0</v>
      </c>
      <c r="M79" s="6">
        <f t="shared" si="53"/>
        <v>0</v>
      </c>
      <c r="N79" s="6">
        <f t="shared" si="53"/>
        <v>0</v>
      </c>
      <c r="O79" s="6">
        <f t="shared" si="53"/>
        <v>0</v>
      </c>
      <c r="P79" s="6">
        <f t="shared" si="53"/>
        <v>0</v>
      </c>
      <c r="Q79" s="47"/>
      <c r="R79" s="47">
        <f t="shared" si="45"/>
        <v>0.15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63.418749999999996</v>
      </c>
      <c r="F80" s="6">
        <f t="shared" si="54"/>
        <v>0</v>
      </c>
      <c r="G80" s="6">
        <f t="shared" si="54"/>
        <v>0</v>
      </c>
      <c r="H80" s="6">
        <f t="shared" si="54"/>
        <v>0</v>
      </c>
      <c r="I80" s="6">
        <f t="shared" si="54"/>
        <v>0</v>
      </c>
      <c r="J80" s="6">
        <f t="shared" si="54"/>
        <v>0</v>
      </c>
      <c r="K80" s="6">
        <f t="shared" si="54"/>
        <v>0</v>
      </c>
      <c r="L80" s="6">
        <f t="shared" si="54"/>
        <v>0</v>
      </c>
      <c r="M80" s="6">
        <f t="shared" si="54"/>
        <v>0</v>
      </c>
      <c r="N80" s="6">
        <f t="shared" si="54"/>
        <v>0</v>
      </c>
      <c r="O80" s="6">
        <f t="shared" si="54"/>
        <v>0</v>
      </c>
      <c r="P80" s="6">
        <f t="shared" si="54"/>
        <v>0</v>
      </c>
      <c r="Q80" s="47"/>
      <c r="R80" s="47">
        <f t="shared" si="45"/>
        <v>63.418749999999996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112.5</v>
      </c>
      <c r="F81" s="6">
        <f t="shared" si="55"/>
        <v>0</v>
      </c>
      <c r="G81" s="6">
        <f t="shared" si="55"/>
        <v>0</v>
      </c>
      <c r="H81" s="6">
        <f t="shared" si="55"/>
        <v>0</v>
      </c>
      <c r="I81" s="6">
        <f t="shared" si="55"/>
        <v>0</v>
      </c>
      <c r="J81" s="6">
        <f t="shared" si="55"/>
        <v>0</v>
      </c>
      <c r="K81" s="6">
        <f t="shared" si="55"/>
        <v>0</v>
      </c>
      <c r="L81" s="6">
        <f t="shared" si="55"/>
        <v>0</v>
      </c>
      <c r="M81" s="6">
        <f t="shared" si="55"/>
        <v>0</v>
      </c>
      <c r="N81" s="6">
        <f t="shared" si="55"/>
        <v>0</v>
      </c>
      <c r="O81" s="6">
        <f t="shared" si="55"/>
        <v>0</v>
      </c>
      <c r="P81" s="6">
        <f t="shared" si="55"/>
        <v>0</v>
      </c>
      <c r="Q81" s="47"/>
      <c r="R81" s="47">
        <f t="shared" si="45"/>
        <v>112.5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197.453806770625</v>
      </c>
      <c r="F82" s="6">
        <f t="shared" si="56"/>
        <v>0</v>
      </c>
      <c r="G82" s="6">
        <f t="shared" si="56"/>
        <v>0</v>
      </c>
      <c r="H82" s="6">
        <f t="shared" si="56"/>
        <v>0</v>
      </c>
      <c r="I82" s="6">
        <f t="shared" si="56"/>
        <v>0</v>
      </c>
      <c r="J82" s="6">
        <f t="shared" si="56"/>
        <v>0</v>
      </c>
      <c r="K82" s="6">
        <f t="shared" si="56"/>
        <v>0</v>
      </c>
      <c r="L82" s="6">
        <f t="shared" si="56"/>
        <v>0</v>
      </c>
      <c r="M82" s="6">
        <f t="shared" si="56"/>
        <v>0</v>
      </c>
      <c r="N82" s="6">
        <f t="shared" si="56"/>
        <v>0</v>
      </c>
      <c r="O82" s="6">
        <f t="shared" si="56"/>
        <v>0</v>
      </c>
      <c r="P82" s="6">
        <f t="shared" si="56"/>
        <v>0</v>
      </c>
      <c r="Q82" s="47"/>
      <c r="R82" s="47">
        <f t="shared" si="45"/>
        <v>197.453806770625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310.702029251875</v>
      </c>
      <c r="F83" s="6">
        <f t="shared" si="57"/>
        <v>0</v>
      </c>
      <c r="G83" s="6">
        <f t="shared" si="57"/>
        <v>0</v>
      </c>
      <c r="H83" s="6">
        <f t="shared" si="57"/>
        <v>0</v>
      </c>
      <c r="I83" s="6">
        <f t="shared" si="57"/>
        <v>0</v>
      </c>
      <c r="J83" s="6">
        <f t="shared" si="57"/>
        <v>0</v>
      </c>
      <c r="K83" s="6">
        <f t="shared" si="57"/>
        <v>0</v>
      </c>
      <c r="L83" s="6">
        <f t="shared" si="57"/>
        <v>0</v>
      </c>
      <c r="M83" s="6">
        <f t="shared" si="57"/>
        <v>0</v>
      </c>
      <c r="N83" s="6">
        <f t="shared" si="57"/>
        <v>0</v>
      </c>
      <c r="O83" s="6">
        <f t="shared" si="57"/>
        <v>0</v>
      </c>
      <c r="P83" s="6">
        <f t="shared" si="57"/>
        <v>0</v>
      </c>
      <c r="R83" s="47">
        <f t="shared" si="45"/>
        <v>310.702029251875</v>
      </c>
      <c r="S83" s="20"/>
    </row>
    <row r="84" spans="1:18" ht="15.75" thickBot="1">
      <c r="A84" s="40"/>
      <c r="D84" s="9" t="s">
        <v>24</v>
      </c>
      <c r="E84" s="52">
        <f>SUM(E71:E83)</f>
        <v>5066.5866485225</v>
      </c>
      <c r="F84" s="52">
        <f aca="true" t="shared" si="58" ref="F84:P84">SUM(F71:F83)</f>
        <v>0</v>
      </c>
      <c r="G84" s="52">
        <f t="shared" si="58"/>
        <v>0</v>
      </c>
      <c r="H84" s="52">
        <f t="shared" si="58"/>
        <v>0</v>
      </c>
      <c r="I84" s="52">
        <f t="shared" si="58"/>
        <v>0</v>
      </c>
      <c r="J84" s="52">
        <f t="shared" si="58"/>
        <v>0</v>
      </c>
      <c r="K84" s="52">
        <f t="shared" si="58"/>
        <v>0</v>
      </c>
      <c r="L84" s="52">
        <f t="shared" si="58"/>
        <v>0</v>
      </c>
      <c r="M84" s="52">
        <f t="shared" si="58"/>
        <v>0</v>
      </c>
      <c r="N84" s="52">
        <f t="shared" si="58"/>
        <v>0</v>
      </c>
      <c r="O84" s="52">
        <f t="shared" si="58"/>
        <v>0</v>
      </c>
      <c r="P84" s="52">
        <f t="shared" si="58"/>
        <v>0</v>
      </c>
      <c r="Q84" s="53"/>
      <c r="R84" s="54">
        <f>SUM(E84:P84)</f>
        <v>5066.5866485225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9"/>
  <sheetViews>
    <sheetView zoomScale="80" zoomScaleNormal="80" zoomScalePageLayoutView="80" workbookViewId="0" topLeftCell="A96">
      <selection activeCell="C115" sqref="C115"/>
    </sheetView>
  </sheetViews>
  <sheetFormatPr defaultColWidth="9.140625" defaultRowHeight="15"/>
  <cols>
    <col min="1" max="1" width="17.00390625" style="0" customWidth="1"/>
    <col min="2" max="2" width="24.28125" style="0" bestFit="1" customWidth="1"/>
    <col min="3" max="3" width="22.140625" style="15" customWidth="1"/>
    <col min="4" max="4" width="10.57421875" style="0" customWidth="1"/>
    <col min="5" max="5" width="12.28125" style="0" bestFit="1" customWidth="1"/>
    <col min="6" max="6" width="12.8515625" style="0" bestFit="1" customWidth="1"/>
    <col min="7" max="14" width="12.28125" style="0" bestFit="1" customWidth="1"/>
    <col min="15" max="15" width="11.7109375" style="0" customWidth="1"/>
    <col min="16" max="16" width="12.28125" style="0" bestFit="1" customWidth="1"/>
    <col min="17" max="17" width="7.57421875" style="0" customWidth="1"/>
    <col min="18" max="18" width="11.140625" style="0" bestFit="1" customWidth="1"/>
    <col min="19" max="19" width="18.57421875" style="0" bestFit="1" customWidth="1"/>
    <col min="23" max="23" width="9.140625" style="0" customWidth="1"/>
    <col min="24" max="24" width="18.57421875" style="0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33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4">
        <f>SUM(E7:P7)</f>
        <v>0</v>
      </c>
      <c r="S7" t="e">
        <f>R7/(8760*MAX(E10:P10))</f>
        <v>#DIV/0!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">
        <f>SUM(E8:P8)</f>
        <v>0</v>
      </c>
      <c r="W8" s="15" t="s">
        <v>44</v>
      </c>
      <c r="X8" s="20"/>
    </row>
    <row r="9" spans="1:24" ht="15" customHeight="1">
      <c r="A9" t="s">
        <v>4</v>
      </c>
      <c r="B9" s="33" t="s">
        <v>32</v>
      </c>
      <c r="C9" s="33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"/>
      <c r="W9" s="15" t="s">
        <v>45</v>
      </c>
      <c r="X9" s="20"/>
    </row>
    <row r="10" spans="2:24" ht="15">
      <c r="B10" s="34">
        <f>MAX(E10:P10)</f>
        <v>0</v>
      </c>
      <c r="C10" s="34"/>
      <c r="D10" s="10" t="s">
        <v>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R10" s="4">
        <f>SUM(E10:P10)</f>
        <v>0</v>
      </c>
      <c r="W10" s="15" t="s">
        <v>46</v>
      </c>
      <c r="X10" s="20"/>
    </row>
    <row r="11" spans="2:24" ht="15">
      <c r="B11" s="34">
        <f>MAX(E11:P11)</f>
        <v>0</v>
      </c>
      <c r="C11" s="34"/>
      <c r="D11" s="10" t="s">
        <v>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R11" s="4">
        <f>SUM(E11:P11)</f>
        <v>0</v>
      </c>
      <c r="W11" s="15" t="s">
        <v>47</v>
      </c>
      <c r="X11" s="20"/>
    </row>
    <row r="12" spans="2:24" ht="15">
      <c r="B12" s="34">
        <f>MAX(E12:P12)</f>
        <v>0</v>
      </c>
      <c r="C12" s="34"/>
      <c r="D12" s="10" t="s">
        <v>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R12" s="4">
        <f>SUM(E12:P12)</f>
        <v>0</v>
      </c>
      <c r="X12" s="20"/>
    </row>
    <row r="13" spans="2:24" s="15" customFormat="1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s="15" customFormat="1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s="15" customFormat="1" ht="15" customHeight="1" thickBo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7",B87,IF($D$15="Rate 8",B104))))))))</f>
        <v>L.G.S. School Current</v>
      </c>
      <c r="D15" s="45" t="s">
        <v>44</v>
      </c>
      <c r="E15" s="25">
        <f>IF($D$15="Rate 1",E32,IF($D$15="Rate 2",E46,IF($D$15="Rate 3",#REF!,IF($D$15="Rate 4",#REF!,IF($D$15="Rate 5",E67,IF($D$15="Rate 6",E84,IF($D$15="Rate 7",E101,IF($D$15="Rate 8",E119))))))))</f>
        <v>97.61825</v>
      </c>
      <c r="F15" s="25">
        <f>IF($D$15="Rate 1",F32,IF($D$15="Rate 2",F46,IF($D$15="Rate 3",#REF!,IF($D$15="Rate 4",#REF!,IF($D$15="Rate 5",F67,IF($D$15="Rate 6",F84,IF($D$15="Rate 7",F101,IF($D$15="Rate 8",F119))))))))</f>
        <v>97.61825</v>
      </c>
      <c r="G15" s="25">
        <f>IF($D$15="Rate 1",G32,IF($D$15="Rate 2",G46,IF($D$15="Rate 3",#REF!,IF($D$15="Rate 4",#REF!,IF($D$15="Rate 5",G67,IF($D$15="Rate 6",G84,IF($D$15="Rate 7",G101,IF($D$15="Rate 8",G119))))))))</f>
        <v>97.61825</v>
      </c>
      <c r="H15" s="25">
        <f>IF($D$15="Rate 1",H32,IF($D$15="Rate 2",H46,IF($D$15="Rate 3",#REF!,IF($D$15="Rate 4",#REF!,IF($D$15="Rate 5",H67,IF($D$15="Rate 6",H84,IF($D$15="Rate 7",H101,IF($D$15="Rate 8",H119))))))))</f>
        <v>97.61825</v>
      </c>
      <c r="I15" s="25">
        <f>IF($D$15="Rate 1",I32,IF($D$15="Rate 2",I46,IF($D$15="Rate 3",#REF!,IF($D$15="Rate 4",#REF!,IF($D$15="Rate 5",I67,IF($D$15="Rate 6",I84,IF($D$15="Rate 7",I101,IF($D$15="Rate 8",I119))))))))</f>
        <v>97.61825</v>
      </c>
      <c r="J15" s="25">
        <f>IF($D$15="Rate 1",J32,IF($D$15="Rate 2",J46,IF($D$15="Rate 3",#REF!,IF($D$15="Rate 4",#REF!,IF($D$15="Rate 5",J67,IF($D$15="Rate 6",J84,IF($D$15="Rate 7",J101,IF($D$15="Rate 8",J119))))))))</f>
        <v>97.61825</v>
      </c>
      <c r="K15" s="25">
        <f>IF($D$15="Rate 1",K32,IF($D$15="Rate 2",K46,IF($D$15="Rate 3",#REF!,IF($D$15="Rate 4",#REF!,IF($D$15="Rate 5",K67,IF($D$15="Rate 6",K84,IF($D$15="Rate 7",K101,IF($D$15="Rate 8",K119))))))))</f>
        <v>97.61825</v>
      </c>
      <c r="L15" s="25">
        <f>IF($D$15="Rate 1",L32,IF($D$15="Rate 2",L46,IF($D$15="Rate 3",#REF!,IF($D$15="Rate 4",#REF!,IF($D$15="Rate 5",L67,IF($D$15="Rate 6",L84,IF($D$15="Rate 7",L101,IF($D$15="Rate 8",L119))))))))</f>
        <v>97.61825</v>
      </c>
      <c r="M15" s="25">
        <f>IF($D$15="Rate 1",M32,IF($D$15="Rate 2",M46,IF($D$15="Rate 3",#REF!,IF($D$15="Rate 4",#REF!,IF($D$15="Rate 5",M67,IF($D$15="Rate 6",M84,IF($D$15="Rate 7",M101,IF($D$15="Rate 8",M119))))))))</f>
        <v>97.61825</v>
      </c>
      <c r="N15" s="25">
        <f>IF($D$15="Rate 1",N32,IF($D$15="Rate 2",N46,IF($D$15="Rate 3",#REF!,IF($D$15="Rate 4",#REF!,IF($D$15="Rate 5",N67,IF($D$15="Rate 6",N84,IF($D$15="Rate 7",N101,IF($D$15="Rate 8",N119))))))))</f>
        <v>97.61825</v>
      </c>
      <c r="O15" s="25">
        <f>IF($D$15="Rate 1",O32,IF($D$15="Rate 2",O46,IF($D$15="Rate 3",#REF!,IF($D$15="Rate 4",#REF!,IF($D$15="Rate 5",O67,IF($D$15="Rate 6",O84,IF($D$15="Rate 7",O101,IF($D$15="Rate 8",O119))))))))</f>
        <v>97.61825</v>
      </c>
      <c r="P15" s="25">
        <f>IF($D$15="Rate 1",P32,IF($D$15="Rate 2",P46,IF($D$15="Rate 3",#REF!,IF($D$15="Rate 4",#REF!,IF($D$15="Rate 5",P67,IF($D$15="Rate 6",P84,IF($D$15="Rate 7",P101,IF($D$15="Rate 8",P119))))))))</f>
        <v>97.61825</v>
      </c>
      <c r="Q15" s="61"/>
      <c r="R15" s="12">
        <f>IF($D$15="Rate 1",R32,IF($D$15="Rate 2",R46,IF($D$15="Rate 3",#REF!,IF($D$15="Rate 4",#REF!,IF($D$15="Rate 5",R67,IF($D$15="Rate 6",R84,IF($D$15="Rate 7",R101,IF($D$15="Rate 8",R119))))))))</f>
        <v>1171.419</v>
      </c>
      <c r="X15" s="20"/>
    </row>
    <row r="16" spans="1:24" s="15" customFormat="1" ht="15" customHeight="1" thickBot="1">
      <c r="A16" s="85"/>
      <c r="B16" s="24" t="s">
        <v>28</v>
      </c>
      <c r="C16" s="44" t="str">
        <f>IF($D$16="Rate 1",B21,IF($D$16="Rate 2",B34,IF($D$16="Rate 3",B49,IF($D$16="Rate 4",#REF!,IF($D$16="Rate 5",B54,IF($D$16="Rate 6",B70,IF($D$16="Rate 7",B87,IF($D$16="Rate 8",B104))))))))</f>
        <v>L.G.S. School Proposed</v>
      </c>
      <c r="D16" s="45" t="s">
        <v>45</v>
      </c>
      <c r="E16" s="26">
        <f>IF($D$16="Rate 1",E32,IF($D$16="Rate 2",E46,IF($D$16="Rate 3",#REF!,IF($D$16="Rate 4",#REF!,IF($D$16="Rate 5",E67,IF($D$16="Rate 6",E84,IF($D$16="Rate 7",E101,IF($D$16="Rate 8",E119))))))))</f>
        <v>98.8015886</v>
      </c>
      <c r="F16" s="26">
        <f>IF($D$16="Rate 1",F32,IF($D$16="Rate 2",F46,IF($D$16="Rate 3",#REF!,IF($D$16="Rate 4",#REF!,IF($D$16="Rate 5",F67,IF($D$16="Rate 6",F84,IF($D$16="Rate 7",F101,IF($D$16="Rate 8",F119))))))))</f>
        <v>98.8015886</v>
      </c>
      <c r="G16" s="26">
        <f>IF($D$16="Rate 1",G32,IF($D$16="Rate 2",G46,IF($D$16="Rate 3",#REF!,IF($D$16="Rate 4",#REF!,IF($D$16="Rate 5",G67,IF($D$16="Rate 6",G84,IF($D$16="Rate 7",G101,IF($D$16="Rate 8",G119))))))))</f>
        <v>98.8015886</v>
      </c>
      <c r="H16" s="26">
        <f>IF($D$16="Rate 1",H32,IF($D$16="Rate 2",H46,IF($D$16="Rate 3",#REF!,IF($D$16="Rate 4",#REF!,IF($D$16="Rate 5",H67,IF($D$16="Rate 6",H84,IF($D$16="Rate 7",H101,IF($D$16="Rate 8",H119))))))))</f>
        <v>98.8015886</v>
      </c>
      <c r="I16" s="26">
        <f>IF($D$16="Rate 1",I32,IF($D$16="Rate 2",I46,IF($D$16="Rate 3",#REF!,IF($D$16="Rate 4",#REF!,IF($D$16="Rate 5",I67,IF($D$16="Rate 6",I84,IF($D$16="Rate 7",I101,IF($D$16="Rate 8",I119))))))))</f>
        <v>98.8015886</v>
      </c>
      <c r="J16" s="26">
        <f>IF($D$16="Rate 1",J32,IF($D$16="Rate 2",J46,IF($D$16="Rate 3",#REF!,IF($D$16="Rate 4",#REF!,IF($D$16="Rate 5",J67,IF($D$16="Rate 6",J84,IF($D$16="Rate 7",J101,IF($D$16="Rate 8",J119))))))))</f>
        <v>98.8015886</v>
      </c>
      <c r="K16" s="26">
        <f>IF($D$16="Rate 1",K32,IF($D$16="Rate 2",K46,IF($D$16="Rate 3",#REF!,IF($D$16="Rate 4",#REF!,IF($D$16="Rate 5",K67,IF($D$16="Rate 6",K84,IF($D$16="Rate 7",K101,IF($D$16="Rate 8",K119))))))))</f>
        <v>98.8015886</v>
      </c>
      <c r="L16" s="26">
        <f>IF($D$16="Rate 1",L32,IF($D$16="Rate 2",L46,IF($D$16="Rate 3",#REF!,IF($D$16="Rate 4",#REF!,IF($D$16="Rate 5",L67,IF($D$16="Rate 6",L84,IF($D$16="Rate 7",L101,IF($D$16="Rate 8",L119))))))))</f>
        <v>98.8015886</v>
      </c>
      <c r="M16" s="26">
        <f>IF($D$16="Rate 1",M32,IF($D$16="Rate 2",M46,IF($D$16="Rate 3",#REF!,IF($D$16="Rate 4",#REF!,IF($D$16="Rate 5",M67,IF($D$16="Rate 6",M84,IF($D$16="Rate 7",M101,IF($D$16="Rate 8",M119))))))))</f>
        <v>98.8015886</v>
      </c>
      <c r="N16" s="26">
        <f>IF($D$16="Rate 1",N32,IF($D$16="Rate 2",N46,IF($D$16="Rate 3",#REF!,IF($D$16="Rate 4",#REF!,IF($D$16="Rate 5",N67,IF($D$16="Rate 6",N84,IF($D$16="Rate 7",N101,IF($D$16="Rate 8",N119))))))))</f>
        <v>98.8015886</v>
      </c>
      <c r="O16" s="26">
        <f>IF($D$16="Rate 1",O32,IF($D$16="Rate 2",O46,IF($D$16="Rate 3",#REF!,IF($D$16="Rate 4",#REF!,IF($D$16="Rate 5",O67,IF($D$16="Rate 6",O84,IF($D$16="Rate 7",O101,IF($D$16="Rate 8",O119))))))))</f>
        <v>98.8015886</v>
      </c>
      <c r="P16" s="26">
        <f>IF($D$16="Rate 1",P32,IF($D$16="Rate 2",P46,IF($D$16="Rate 3",#REF!,IF($D$16="Rate 4",#REF!,IF($D$16="Rate 5",P67,IF($D$16="Rate 6",P84,IF($D$16="Rate 7",P101,IF($D$16="Rate 8",P119))))))))</f>
        <v>98.8015886</v>
      </c>
      <c r="Q16" s="62">
        <f>IF($D$16="Rate 1",Q32,IF($D$16="Rate 2",Q46,IF($D$16="Rate 3",#REF!,IF($D$16="Rate 4",#REF!,IF($D$16="Rate 5",Q67,IF($D$16="Rate 6",Q84,IF($D$16="Rate 7",Q101,IF($D$16="Rate 8",Q119))))))))</f>
        <v>0</v>
      </c>
      <c r="R16" s="12">
        <f>IF($D$16="Rate 1",R32,IF($D$16="Rate 2",R46,IF($D$16="Rate 3",#REF!,IF($D$16="Rate 4",#REF!,IF($D$16="Rate 5",R67,IF($D$16="Rate 6",R84,IF($D$16="Rate 7",R101,IF($D$16="Rate 8",R119))))))))</f>
        <v>1185.6190632000003</v>
      </c>
      <c r="X16" s="20"/>
    </row>
    <row r="17" spans="1:24" s="15" customFormat="1" ht="15" customHeight="1" thickBot="1">
      <c r="A17" s="85"/>
      <c r="B17" s="86" t="s">
        <v>26</v>
      </c>
      <c r="C17" s="87"/>
      <c r="D17" s="87"/>
      <c r="E17" s="27">
        <f>E15-E16</f>
        <v>-1.183338599999999</v>
      </c>
      <c r="F17" s="28">
        <f aca="true" t="shared" si="0" ref="F17:R17">F15-F16</f>
        <v>-1.183338599999999</v>
      </c>
      <c r="G17" s="28">
        <f t="shared" si="0"/>
        <v>-1.183338599999999</v>
      </c>
      <c r="H17" s="28">
        <f t="shared" si="0"/>
        <v>-1.183338599999999</v>
      </c>
      <c r="I17" s="28">
        <f t="shared" si="0"/>
        <v>-1.183338599999999</v>
      </c>
      <c r="J17" s="28">
        <f t="shared" si="0"/>
        <v>-1.183338599999999</v>
      </c>
      <c r="K17" s="28">
        <f t="shared" si="0"/>
        <v>-1.183338599999999</v>
      </c>
      <c r="L17" s="28">
        <f t="shared" si="0"/>
        <v>-1.183338599999999</v>
      </c>
      <c r="M17" s="28">
        <f t="shared" si="0"/>
        <v>-1.183338599999999</v>
      </c>
      <c r="N17" s="28">
        <f t="shared" si="0"/>
        <v>-1.183338599999999</v>
      </c>
      <c r="O17" s="28">
        <f t="shared" si="0"/>
        <v>-1.183338599999999</v>
      </c>
      <c r="P17" s="29">
        <f t="shared" si="0"/>
        <v>-1.183338599999999</v>
      </c>
      <c r="Q17" s="16"/>
      <c r="R17" s="28">
        <f t="shared" si="0"/>
        <v>-14.200063200000159</v>
      </c>
      <c r="X17" s="20"/>
    </row>
    <row r="18" spans="2:24" s="15" customFormat="1" ht="15" customHeight="1" thickBot="1">
      <c r="B18" s="13"/>
      <c r="C18" s="13"/>
      <c r="R18" s="64">
        <f>R17/R15</f>
        <v>-0.012122104217193128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X20" s="20"/>
    </row>
    <row r="21" spans="1:19" s="15" customFormat="1" ht="18.75">
      <c r="A21" s="41">
        <v>1</v>
      </c>
      <c r="B21" s="42" t="s">
        <v>66</v>
      </c>
      <c r="C21" s="42"/>
      <c r="S21" s="22"/>
    </row>
    <row r="22" spans="1:19" s="15" customFormat="1" ht="15">
      <c r="A22" s="41"/>
      <c r="B22" s="15" t="s">
        <v>22</v>
      </c>
      <c r="D22" s="7"/>
      <c r="E22" s="6">
        <f>$D$55</f>
        <v>85</v>
      </c>
      <c r="F22" s="6">
        <f aca="true" t="shared" si="1" ref="F22:P22">$D$55</f>
        <v>85</v>
      </c>
      <c r="G22" s="6">
        <f t="shared" si="1"/>
        <v>85</v>
      </c>
      <c r="H22" s="6">
        <f t="shared" si="1"/>
        <v>85</v>
      </c>
      <c r="I22" s="6">
        <f t="shared" si="1"/>
        <v>85</v>
      </c>
      <c r="J22" s="6">
        <f t="shared" si="1"/>
        <v>85</v>
      </c>
      <c r="K22" s="6">
        <f t="shared" si="1"/>
        <v>85</v>
      </c>
      <c r="L22" s="6">
        <f t="shared" si="1"/>
        <v>85</v>
      </c>
      <c r="M22" s="6">
        <f t="shared" si="1"/>
        <v>85</v>
      </c>
      <c r="N22" s="6">
        <f t="shared" si="1"/>
        <v>85</v>
      </c>
      <c r="O22" s="6">
        <f t="shared" si="1"/>
        <v>85</v>
      </c>
      <c r="P22" s="6">
        <f t="shared" si="1"/>
        <v>85</v>
      </c>
      <c r="Q22" s="47"/>
      <c r="R22" s="47">
        <f>SUM(E22:P22)</f>
        <v>1020</v>
      </c>
      <c r="S22" s="20"/>
    </row>
    <row r="23" spans="1:19" s="15" customFormat="1" ht="15">
      <c r="A23" s="41"/>
      <c r="B23" s="15" t="s">
        <v>23</v>
      </c>
      <c r="D23" s="8"/>
      <c r="E23" s="6">
        <f aca="true" t="shared" si="2" ref="E23:P23">E$7*$D$56</f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  <c r="K23" s="6">
        <f t="shared" si="2"/>
        <v>0</v>
      </c>
      <c r="L23" s="6">
        <f t="shared" si="2"/>
        <v>0</v>
      </c>
      <c r="M23" s="6">
        <f t="shared" si="2"/>
        <v>0</v>
      </c>
      <c r="N23" s="6">
        <f t="shared" si="2"/>
        <v>0</v>
      </c>
      <c r="O23" s="6">
        <f t="shared" si="2"/>
        <v>0</v>
      </c>
      <c r="P23" s="6">
        <f t="shared" si="2"/>
        <v>0</v>
      </c>
      <c r="Q23" s="47"/>
      <c r="R23" s="47">
        <f>SUM(E23:P23)</f>
        <v>0</v>
      </c>
      <c r="S23" s="20"/>
    </row>
    <row r="24" spans="1:19" s="15" customFormat="1" ht="15">
      <c r="A24" s="41"/>
      <c r="B24" s="15" t="s">
        <v>65</v>
      </c>
      <c r="D24" s="8"/>
      <c r="E24" s="6">
        <f aca="true" t="shared" si="3" ref="E24:P24">$D$57*E$10</f>
        <v>0</v>
      </c>
      <c r="F24" s="6">
        <f t="shared" si="3"/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47"/>
      <c r="R24" s="47">
        <f>SUM(E24:P24)</f>
        <v>0</v>
      </c>
      <c r="S24" s="20"/>
    </row>
    <row r="25" spans="1:19" s="15" customFormat="1" ht="15">
      <c r="A25" s="41"/>
      <c r="B25" s="40" t="s">
        <v>67</v>
      </c>
      <c r="D25" s="8"/>
      <c r="E25" s="6">
        <f aca="true" t="shared" si="4" ref="E25:P25">IF((1/E$13)*100&gt;1.15,($D$58*(E$10/E$13*100-1.15*E$10)),0)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  <c r="Q25" s="47"/>
      <c r="R25" s="47">
        <f aca="true" t="shared" si="5" ref="R25:R33">SUM(E25:P25)</f>
        <v>0</v>
      </c>
      <c r="S25" s="20"/>
    </row>
    <row r="26" spans="1:19" s="15" customFormat="1" ht="15">
      <c r="A26" s="41"/>
      <c r="B26" s="15" t="s">
        <v>87</v>
      </c>
      <c r="D26" s="8"/>
      <c r="E26" s="6">
        <f aca="true" t="shared" si="6" ref="E26:P26">$D$59*E$7</f>
        <v>0</v>
      </c>
      <c r="F26" s="6">
        <f t="shared" si="6"/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5"/>
        <v>0</v>
      </c>
      <c r="S26" s="20"/>
    </row>
    <row r="27" spans="1:19" s="15" customFormat="1" ht="15">
      <c r="A27" s="41"/>
      <c r="B27" s="15" t="s">
        <v>64</v>
      </c>
      <c r="C27" s="55"/>
      <c r="D27" s="8"/>
      <c r="E27" s="6">
        <f aca="true" t="shared" si="7" ref="E27:P27">E$7*$D$60</f>
        <v>0</v>
      </c>
      <c r="F27" s="6">
        <f t="shared" si="7"/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5"/>
        <v>0</v>
      </c>
      <c r="S27" s="20"/>
    </row>
    <row r="28" spans="1:19" s="15" customFormat="1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5"/>
        <v>0</v>
      </c>
      <c r="S28" s="20"/>
    </row>
    <row r="29" spans="1:19" s="15" customFormat="1" ht="14.25" customHeight="1">
      <c r="A29" s="41"/>
      <c r="B29" s="15" t="s">
        <v>60</v>
      </c>
      <c r="D29" s="50"/>
      <c r="E29" s="6">
        <f>(SUM(E22:E25)+SUM(E26:E28)-($D27+$C27)*E$7)*$D29</f>
        <v>0</v>
      </c>
      <c r="F29" s="6">
        <f aca="true" t="shared" si="9" ref="F29:P29">(SUM(F22:F25)+SUM(F26:F28)-($D27+$C27)*F$7)*$D29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5"/>
        <v>0</v>
      </c>
      <c r="S29" s="20"/>
    </row>
    <row r="30" spans="1:19" s="15" customFormat="1" ht="15">
      <c r="A30" s="41"/>
      <c r="B30" s="15" t="s">
        <v>61</v>
      </c>
      <c r="D30" s="8"/>
      <c r="E30" s="6">
        <f>$D$63</f>
        <v>0</v>
      </c>
      <c r="F30" s="6">
        <f aca="true" t="shared" si="10" ref="F30:P30">$D$63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5"/>
        <v>0</v>
      </c>
      <c r="S30" s="20"/>
    </row>
    <row r="31" spans="1:19" s="15" customFormat="1" ht="15">
      <c r="A31" s="41"/>
      <c r="B31" s="15" t="s">
        <v>68</v>
      </c>
      <c r="D31" s="8"/>
      <c r="E31" s="6">
        <f aca="true" t="shared" si="11" ref="E31:P31">$D$64*E$7</f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5"/>
        <v>0</v>
      </c>
      <c r="S31" s="20"/>
    </row>
    <row r="32" spans="2:18" s="15" customFormat="1" ht="15">
      <c r="B32" s="15" t="s">
        <v>62</v>
      </c>
      <c r="D32" s="51"/>
      <c r="E32" s="6">
        <f aca="true" t="shared" si="12" ref="E32:P32">$D$65*(SUM(E22:E24)+E29+E30+E31-$C$60*E$7)</f>
        <v>0</v>
      </c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5"/>
        <v>0</v>
      </c>
    </row>
    <row r="33" spans="2:18" s="15" customFormat="1" ht="15.75" thickBot="1">
      <c r="B33" s="15" t="s">
        <v>63</v>
      </c>
      <c r="D33" s="51"/>
      <c r="E33" s="6">
        <f aca="true" t="shared" si="13" ref="E33:P33">$D$66*(SUM(E22:E24)+E29+E30+E31-$C$66*E$7)</f>
        <v>0</v>
      </c>
      <c r="F33" s="6">
        <f t="shared" si="13"/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5"/>
        <v>0</v>
      </c>
    </row>
    <row r="34" spans="4:18" s="15" customFormat="1" ht="15.75" thickBot="1">
      <c r="D34" s="9" t="s">
        <v>24</v>
      </c>
      <c r="E34" s="52">
        <f aca="true" t="shared" si="14" ref="E34:P34">SUM(E22:E33)</f>
        <v>85</v>
      </c>
      <c r="F34" s="52">
        <f t="shared" si="14"/>
        <v>85</v>
      </c>
      <c r="G34" s="52">
        <f t="shared" si="14"/>
        <v>85</v>
      </c>
      <c r="H34" s="52">
        <f t="shared" si="14"/>
        <v>85</v>
      </c>
      <c r="I34" s="52">
        <f t="shared" si="14"/>
        <v>85</v>
      </c>
      <c r="J34" s="52">
        <f t="shared" si="14"/>
        <v>85</v>
      </c>
      <c r="K34" s="52">
        <f t="shared" si="14"/>
        <v>85</v>
      </c>
      <c r="L34" s="52">
        <f t="shared" si="14"/>
        <v>85</v>
      </c>
      <c r="M34" s="52">
        <f t="shared" si="14"/>
        <v>85</v>
      </c>
      <c r="N34" s="52">
        <f t="shared" si="14"/>
        <v>85</v>
      </c>
      <c r="O34" s="52">
        <f t="shared" si="14"/>
        <v>85</v>
      </c>
      <c r="P34" s="52">
        <f t="shared" si="14"/>
        <v>85</v>
      </c>
      <c r="Q34" s="53"/>
      <c r="R34" s="54">
        <f>SUM(E34:P34)</f>
        <v>1020</v>
      </c>
    </row>
    <row r="35" spans="1:24" ht="15">
      <c r="A35" s="41"/>
      <c r="B35" s="15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s="15" customFormat="1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s="15" customFormat="1" ht="15">
      <c r="B37" s="15" t="s">
        <v>22</v>
      </c>
      <c r="D37" s="7"/>
      <c r="E37" s="6">
        <f>$D$71</f>
        <v>85</v>
      </c>
      <c r="F37" s="6">
        <f aca="true" t="shared" si="15" ref="F37:P37">$D$71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s="15" customFormat="1" ht="15">
      <c r="B38" s="15" t="s">
        <v>23</v>
      </c>
      <c r="C38" s="15">
        <v>1</v>
      </c>
      <c r="D38" s="8"/>
      <c r="E38" s="6">
        <f aca="true" t="shared" si="17" ref="E38:P38">E$7*$D$72</f>
        <v>0</v>
      </c>
      <c r="F38" s="6">
        <f t="shared" si="17"/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s="15" customFormat="1" ht="15">
      <c r="B39" s="15" t="s">
        <v>65</v>
      </c>
      <c r="C39" s="15">
        <v>1</v>
      </c>
      <c r="D39" s="7"/>
      <c r="E39" s="6">
        <f aca="true" t="shared" si="18" ref="E39:P39">$D$73*E$10</f>
        <v>0</v>
      </c>
      <c r="F39" s="6">
        <f t="shared" si="18"/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s="15" customFormat="1" ht="15">
      <c r="B40" s="40" t="s">
        <v>67</v>
      </c>
      <c r="D40" s="8"/>
      <c r="E40" s="6">
        <f aca="true" t="shared" si="19" ref="E40:P40">IF((1/E$13)*100&gt;1.15,($D$74*(E$10/E$13*100-1.15*E$10)),0)</f>
        <v>0</v>
      </c>
      <c r="F40" s="6">
        <f t="shared" si="19"/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s="15" customFormat="1" ht="15">
      <c r="A41" s="40"/>
      <c r="B41" s="15" t="s">
        <v>64</v>
      </c>
      <c r="C41" s="55"/>
      <c r="D41" s="8"/>
      <c r="E41" s="6">
        <f aca="true" t="shared" si="20" ref="E41:P41">E$7*$D$75</f>
        <v>0</v>
      </c>
      <c r="F41" s="6">
        <f t="shared" si="20"/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s="15" customFormat="1" ht="15">
      <c r="A42" s="40"/>
      <c r="B42" s="15" t="s">
        <v>87</v>
      </c>
      <c r="D42" s="8"/>
      <c r="E42" s="6">
        <f aca="true" t="shared" si="21" ref="E42:P42">$D$76*E$7</f>
        <v>0</v>
      </c>
      <c r="F42" s="6">
        <f t="shared" si="21"/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s="15" customFormat="1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s="15" customFormat="1" ht="15">
      <c r="A44" s="40"/>
      <c r="B44" s="15" t="s">
        <v>60</v>
      </c>
      <c r="D44" s="50"/>
      <c r="E44" s="6">
        <f aca="true" t="shared" si="23" ref="E44:P44">E$7*$D$78</f>
        <v>0</v>
      </c>
      <c r="F44" s="6">
        <f t="shared" si="23"/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s="15" customFormat="1" ht="15">
      <c r="A45" s="40"/>
      <c r="B45" s="15" t="s">
        <v>61</v>
      </c>
      <c r="D45" s="8"/>
      <c r="E45" s="6">
        <f>$D$79</f>
        <v>0.15</v>
      </c>
      <c r="F45" s="6">
        <f aca="true" t="shared" si="24" ref="F45:P45">$D$79</f>
        <v>0.15</v>
      </c>
      <c r="G45" s="6">
        <f t="shared" si="24"/>
        <v>0.15</v>
      </c>
      <c r="H45" s="6">
        <f t="shared" si="24"/>
        <v>0.15</v>
      </c>
      <c r="I45" s="6">
        <f t="shared" si="24"/>
        <v>0.15</v>
      </c>
      <c r="J45" s="6">
        <f t="shared" si="24"/>
        <v>0.15</v>
      </c>
      <c r="K45" s="6">
        <f t="shared" si="24"/>
        <v>0.15</v>
      </c>
      <c r="L45" s="6">
        <f t="shared" si="24"/>
        <v>0.15</v>
      </c>
      <c r="M45" s="6">
        <f t="shared" si="24"/>
        <v>0.15</v>
      </c>
      <c r="N45" s="6">
        <f t="shared" si="24"/>
        <v>0.15</v>
      </c>
      <c r="O45" s="6">
        <f t="shared" si="24"/>
        <v>0.15</v>
      </c>
      <c r="P45" s="6">
        <f t="shared" si="24"/>
        <v>0.15</v>
      </c>
      <c r="Q45" s="47"/>
      <c r="R45" s="47">
        <f t="shared" si="16"/>
        <v>1.7999999999999996</v>
      </c>
    </row>
    <row r="46" spans="1:18" s="15" customFormat="1" ht="15">
      <c r="A46" s="40"/>
      <c r="B46" s="15" t="s">
        <v>83</v>
      </c>
      <c r="D46" s="8"/>
      <c r="E46" s="6">
        <f aca="true" t="shared" si="25" ref="E46:P46">$D$80*E$7</f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s="15" customFormat="1" ht="15">
      <c r="A47" s="40"/>
      <c r="B47" s="15" t="s">
        <v>84</v>
      </c>
      <c r="D47" s="8"/>
      <c r="E47" s="6">
        <f aca="true" t="shared" si="26" ref="E47:P47">$D$81*E$10</f>
        <v>0</v>
      </c>
      <c r="F47" s="6">
        <f t="shared" si="26"/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s="15" customFormat="1" ht="15">
      <c r="A48" s="40"/>
      <c r="B48" s="15" t="s">
        <v>62</v>
      </c>
      <c r="D48" s="51"/>
      <c r="E48" s="6">
        <f aca="true" t="shared" si="27" ref="E48:P48">$D48*(SUM(E37:E47)-($C$75+$D$75)*E$7)</f>
        <v>0</v>
      </c>
      <c r="F48" s="6">
        <f t="shared" si="27"/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s="15" customFormat="1" ht="15.75" thickBot="1">
      <c r="A49" s="41"/>
      <c r="B49" s="15" t="s">
        <v>63</v>
      </c>
      <c r="D49" s="51"/>
      <c r="E49" s="6">
        <f aca="true" t="shared" si="28" ref="E49:P49">$D49*(SUM(E37:E47)-($C$75+$D$75)*E$7)</f>
        <v>0</v>
      </c>
      <c r="F49" s="6">
        <f t="shared" si="28"/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s="15" customFormat="1" ht="15.75" thickBot="1">
      <c r="A50" s="40"/>
      <c r="D50" s="9" t="s">
        <v>24</v>
      </c>
      <c r="E50" s="52">
        <f aca="true" t="shared" si="29" ref="E50:P50">SUM(E37:E49)</f>
        <v>85.15</v>
      </c>
      <c r="F50" s="52">
        <f t="shared" si="29"/>
        <v>85.15</v>
      </c>
      <c r="G50" s="52">
        <f t="shared" si="29"/>
        <v>85.15</v>
      </c>
      <c r="H50" s="52">
        <f t="shared" si="29"/>
        <v>85.15</v>
      </c>
      <c r="I50" s="52">
        <f t="shared" si="29"/>
        <v>85.15</v>
      </c>
      <c r="J50" s="52">
        <f t="shared" si="29"/>
        <v>85.15</v>
      </c>
      <c r="K50" s="52">
        <f t="shared" si="29"/>
        <v>85.15</v>
      </c>
      <c r="L50" s="52">
        <f t="shared" si="29"/>
        <v>85.15</v>
      </c>
      <c r="M50" s="52">
        <f t="shared" si="29"/>
        <v>85.15</v>
      </c>
      <c r="N50" s="52">
        <f t="shared" si="29"/>
        <v>85.15</v>
      </c>
      <c r="O50" s="52">
        <f t="shared" si="29"/>
        <v>85.15</v>
      </c>
      <c r="P50" s="52">
        <f t="shared" si="29"/>
        <v>85.15</v>
      </c>
      <c r="Q50" s="53"/>
      <c r="R50" s="54">
        <f>SUM(E50:P50)</f>
        <v>1021.7999999999998</v>
      </c>
    </row>
    <row r="51" spans="1:19" ht="15">
      <c r="A51" s="41"/>
      <c r="B51" s="15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s="15" customFormat="1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B53" s="15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s="15" customFormat="1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v>85</v>
      </c>
      <c r="E55" s="6">
        <f>$D$55</f>
        <v>85</v>
      </c>
      <c r="F55" s="6">
        <f aca="true" t="shared" si="30" ref="F55:P55">$D$55</f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v>0.07795</v>
      </c>
      <c r="E56" s="6">
        <f aca="true" t="shared" si="32" ref="E56:P56">E$7*$D$56</f>
        <v>0</v>
      </c>
      <c r="F56" s="6">
        <f t="shared" si="32"/>
        <v>0</v>
      </c>
      <c r="G56" s="6">
        <f t="shared" si="32"/>
        <v>0</v>
      </c>
      <c r="H56" s="6">
        <f t="shared" si="32"/>
        <v>0</v>
      </c>
      <c r="I56" s="6">
        <f t="shared" si="32"/>
        <v>0</v>
      </c>
      <c r="J56" s="6">
        <f t="shared" si="32"/>
        <v>0</v>
      </c>
      <c r="K56" s="6">
        <f t="shared" si="32"/>
        <v>0</v>
      </c>
      <c r="L56" s="6">
        <f t="shared" si="32"/>
        <v>0</v>
      </c>
      <c r="M56" s="6">
        <f t="shared" si="32"/>
        <v>0</v>
      </c>
      <c r="N56" s="6">
        <f t="shared" si="32"/>
        <v>0</v>
      </c>
      <c r="O56" s="6">
        <f t="shared" si="32"/>
        <v>0</v>
      </c>
      <c r="P56" s="6">
        <f t="shared" si="32"/>
        <v>0</v>
      </c>
      <c r="Q56" s="47"/>
      <c r="R56" s="47">
        <f t="shared" si="31"/>
        <v>0</v>
      </c>
      <c r="S56" s="20"/>
    </row>
    <row r="57" spans="1:19" ht="15">
      <c r="A57" s="41"/>
      <c r="B57" s="15" t="s">
        <v>65</v>
      </c>
      <c r="D57" s="8">
        <v>4.02</v>
      </c>
      <c r="E57" s="6">
        <f aca="true" t="shared" si="33" ref="E57:P57">$D$57*E$10</f>
        <v>0</v>
      </c>
      <c r="F57" s="6">
        <f t="shared" si="33"/>
        <v>0</v>
      </c>
      <c r="G57" s="6">
        <f t="shared" si="33"/>
        <v>0</v>
      </c>
      <c r="H57" s="6">
        <f t="shared" si="33"/>
        <v>0</v>
      </c>
      <c r="I57" s="6">
        <f t="shared" si="33"/>
        <v>0</v>
      </c>
      <c r="J57" s="6">
        <f t="shared" si="33"/>
        <v>0</v>
      </c>
      <c r="K57" s="6">
        <f t="shared" si="33"/>
        <v>0</v>
      </c>
      <c r="L57" s="6">
        <f t="shared" si="33"/>
        <v>0</v>
      </c>
      <c r="M57" s="6">
        <f t="shared" si="33"/>
        <v>0</v>
      </c>
      <c r="N57" s="6">
        <f t="shared" si="33"/>
        <v>0</v>
      </c>
      <c r="O57" s="6">
        <f t="shared" si="33"/>
        <v>0</v>
      </c>
      <c r="P57" s="6">
        <f t="shared" si="33"/>
        <v>0</v>
      </c>
      <c r="Q57" s="47"/>
      <c r="R57" s="47">
        <f>SUM(E57:P57)</f>
        <v>0</v>
      </c>
      <c r="S57" s="20"/>
    </row>
    <row r="58" spans="1:19" ht="15">
      <c r="A58" s="41"/>
      <c r="B58" s="40" t="s">
        <v>67</v>
      </c>
      <c r="D58" s="8"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s="15" customFormat="1" ht="15">
      <c r="A59" s="41"/>
      <c r="B59" s="15" t="s">
        <v>87</v>
      </c>
      <c r="D59" s="8">
        <v>0.000986</v>
      </c>
      <c r="E59" s="6">
        <f aca="true" t="shared" si="35" ref="E59:P59">$D$59*E$7</f>
        <v>0</v>
      </c>
      <c r="F59" s="6">
        <f t="shared" si="35"/>
        <v>0</v>
      </c>
      <c r="G59" s="6">
        <f t="shared" si="35"/>
        <v>0</v>
      </c>
      <c r="H59" s="6">
        <f t="shared" si="35"/>
        <v>0</v>
      </c>
      <c r="I59" s="6">
        <f t="shared" si="35"/>
        <v>0</v>
      </c>
      <c r="J59" s="6">
        <f t="shared" si="35"/>
        <v>0</v>
      </c>
      <c r="K59" s="6">
        <f t="shared" si="35"/>
        <v>0</v>
      </c>
      <c r="L59" s="6">
        <f t="shared" si="35"/>
        <v>0</v>
      </c>
      <c r="M59" s="6">
        <f t="shared" si="35"/>
        <v>0</v>
      </c>
      <c r="N59" s="6">
        <f t="shared" si="35"/>
        <v>0</v>
      </c>
      <c r="O59" s="6">
        <f t="shared" si="35"/>
        <v>0</v>
      </c>
      <c r="P59" s="6">
        <f t="shared" si="35"/>
        <v>0</v>
      </c>
      <c r="Q59" s="47"/>
      <c r="R59" s="47">
        <f t="shared" si="31"/>
        <v>0</v>
      </c>
      <c r="S59" s="20"/>
    </row>
    <row r="60" spans="1:19" ht="15">
      <c r="A60" s="41"/>
      <c r="B60" s="15" t="s">
        <v>64</v>
      </c>
      <c r="C60" s="55">
        <v>0.0284</v>
      </c>
      <c r="D60" s="8">
        <v>0.0020411</v>
      </c>
      <c r="E60" s="6">
        <f aca="true" t="shared" si="36" ref="E60:P60">E$7*$D$60</f>
        <v>0</v>
      </c>
      <c r="F60" s="6">
        <f t="shared" si="36"/>
        <v>0</v>
      </c>
      <c r="G60" s="6">
        <f t="shared" si="36"/>
        <v>0</v>
      </c>
      <c r="H60" s="6">
        <f t="shared" si="36"/>
        <v>0</v>
      </c>
      <c r="I60" s="6">
        <f t="shared" si="36"/>
        <v>0</v>
      </c>
      <c r="J60" s="6">
        <f t="shared" si="36"/>
        <v>0</v>
      </c>
      <c r="K60" s="6">
        <f t="shared" si="36"/>
        <v>0</v>
      </c>
      <c r="L60" s="6">
        <f t="shared" si="36"/>
        <v>0</v>
      </c>
      <c r="M60" s="6">
        <f t="shared" si="36"/>
        <v>0</v>
      </c>
      <c r="N60" s="6">
        <f t="shared" si="36"/>
        <v>0</v>
      </c>
      <c r="O60" s="6">
        <f t="shared" si="36"/>
        <v>0</v>
      </c>
      <c r="P60" s="6">
        <f t="shared" si="36"/>
        <v>0</v>
      </c>
      <c r="Q60" s="47"/>
      <c r="R60" s="47">
        <f t="shared" si="31"/>
        <v>0</v>
      </c>
      <c r="S60" s="20"/>
    </row>
    <row r="61" spans="1:19" s="15" customFormat="1" ht="15">
      <c r="A61" s="41"/>
      <c r="B61" s="15" t="s">
        <v>85</v>
      </c>
      <c r="C61" s="55"/>
      <c r="D61" s="8">
        <v>0.00097</v>
      </c>
      <c r="E61" s="6">
        <f>$D61*E$7</f>
        <v>0</v>
      </c>
      <c r="F61" s="6">
        <f aca="true" t="shared" si="37" ref="F61:P61">$D61*F$7</f>
        <v>0</v>
      </c>
      <c r="G61" s="6">
        <f t="shared" si="37"/>
        <v>0</v>
      </c>
      <c r="H61" s="6">
        <f t="shared" si="37"/>
        <v>0</v>
      </c>
      <c r="I61" s="6">
        <f t="shared" si="37"/>
        <v>0</v>
      </c>
      <c r="J61" s="6">
        <f t="shared" si="37"/>
        <v>0</v>
      </c>
      <c r="K61" s="6">
        <f t="shared" si="37"/>
        <v>0</v>
      </c>
      <c r="L61" s="6">
        <f t="shared" si="37"/>
        <v>0</v>
      </c>
      <c r="M61" s="6">
        <f t="shared" si="37"/>
        <v>0</v>
      </c>
      <c r="N61" s="6">
        <f t="shared" si="37"/>
        <v>0</v>
      </c>
      <c r="O61" s="6">
        <f t="shared" si="37"/>
        <v>0</v>
      </c>
      <c r="P61" s="6">
        <f t="shared" si="37"/>
        <v>0</v>
      </c>
      <c r="Q61" s="47"/>
      <c r="R61" s="47">
        <f t="shared" si="31"/>
        <v>0</v>
      </c>
      <c r="S61" s="20"/>
    </row>
    <row r="62" spans="1:19" s="15" customFormat="1" ht="14.25" customHeight="1">
      <c r="A62" s="41"/>
      <c r="B62" s="15" t="s">
        <v>60</v>
      </c>
      <c r="D62" s="50">
        <v>0.14845</v>
      </c>
      <c r="E62" s="6">
        <f>(SUM(E55:E58)+SUM(E59:E61)-($D60+$C60)*E$7)*$D62</f>
        <v>12.61825</v>
      </c>
      <c r="F62" s="6">
        <f aca="true" t="shared" si="38" ref="F62:P62">(SUM(F55:F58)+SUM(F59:F61)-($D60+$C60)*F$7)*$D62</f>
        <v>12.61825</v>
      </c>
      <c r="G62" s="6">
        <f t="shared" si="38"/>
        <v>12.61825</v>
      </c>
      <c r="H62" s="6">
        <f t="shared" si="38"/>
        <v>12.61825</v>
      </c>
      <c r="I62" s="6">
        <f t="shared" si="38"/>
        <v>12.61825</v>
      </c>
      <c r="J62" s="6">
        <f t="shared" si="38"/>
        <v>12.61825</v>
      </c>
      <c r="K62" s="6">
        <f t="shared" si="38"/>
        <v>12.61825</v>
      </c>
      <c r="L62" s="6">
        <f t="shared" si="38"/>
        <v>12.61825</v>
      </c>
      <c r="M62" s="6">
        <f t="shared" si="38"/>
        <v>12.61825</v>
      </c>
      <c r="N62" s="6">
        <f t="shared" si="38"/>
        <v>12.61825</v>
      </c>
      <c r="O62" s="6">
        <f t="shared" si="38"/>
        <v>12.61825</v>
      </c>
      <c r="P62" s="6">
        <f t="shared" si="38"/>
        <v>12.61825</v>
      </c>
      <c r="Q62" s="47"/>
      <c r="R62" s="47">
        <f t="shared" si="31"/>
        <v>151.419</v>
      </c>
      <c r="S62" s="20"/>
    </row>
    <row r="63" spans="1:19" s="15" customFormat="1" ht="15">
      <c r="A63" s="41"/>
      <c r="B63" s="15" t="s">
        <v>61</v>
      </c>
      <c r="D63" s="8"/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/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1:18" ht="15">
      <c r="A65" s="15"/>
      <c r="B65" s="15" t="s">
        <v>62</v>
      </c>
      <c r="D65" s="51"/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1:18" ht="15.75" thickBot="1">
      <c r="A66" s="15"/>
      <c r="B66" s="15" t="s">
        <v>63</v>
      </c>
      <c r="D66" s="51"/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Q66" s="15"/>
      <c r="R66" s="47">
        <f t="shared" si="31"/>
        <v>0</v>
      </c>
    </row>
    <row r="67" spans="1:18" ht="15.75" thickBot="1">
      <c r="A67" s="15"/>
      <c r="B67" s="15"/>
      <c r="D67" s="9" t="s">
        <v>24</v>
      </c>
      <c r="E67" s="52">
        <f aca="true" t="shared" si="43" ref="E67:P67">SUM(E55:E66)</f>
        <v>97.61825</v>
      </c>
      <c r="F67" s="52">
        <f t="shared" si="43"/>
        <v>97.61825</v>
      </c>
      <c r="G67" s="52">
        <f t="shared" si="43"/>
        <v>97.61825</v>
      </c>
      <c r="H67" s="52">
        <f t="shared" si="43"/>
        <v>97.61825</v>
      </c>
      <c r="I67" s="52">
        <f t="shared" si="43"/>
        <v>97.61825</v>
      </c>
      <c r="J67" s="52">
        <f t="shared" si="43"/>
        <v>97.61825</v>
      </c>
      <c r="K67" s="52">
        <f t="shared" si="43"/>
        <v>97.61825</v>
      </c>
      <c r="L67" s="52">
        <f t="shared" si="43"/>
        <v>97.61825</v>
      </c>
      <c r="M67" s="52">
        <f t="shared" si="43"/>
        <v>97.61825</v>
      </c>
      <c r="N67" s="52">
        <f t="shared" si="43"/>
        <v>97.61825</v>
      </c>
      <c r="O67" s="52">
        <f t="shared" si="43"/>
        <v>97.61825</v>
      </c>
      <c r="P67" s="52">
        <f t="shared" si="43"/>
        <v>97.61825</v>
      </c>
      <c r="Q67" s="53"/>
      <c r="R67" s="54">
        <f>SUM(E67:P67)</f>
        <v>1171.419</v>
      </c>
    </row>
    <row r="68" spans="1:18" ht="15">
      <c r="A68" s="15"/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5">
      <c r="A69" s="15"/>
      <c r="B69" s="15"/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5">
      <c r="A71" s="15"/>
      <c r="B71" s="15" t="s">
        <v>22</v>
      </c>
      <c r="D71" s="7">
        <v>85</v>
      </c>
      <c r="E71" s="6">
        <f>$D$71</f>
        <v>85</v>
      </c>
      <c r="F71" s="6">
        <f aca="true" t="shared" si="44" ref="F71:P71">$D$71</f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1:18" ht="15">
      <c r="A72" s="15"/>
      <c r="B72" s="15" t="s">
        <v>23</v>
      </c>
      <c r="C72" s="15">
        <v>0.9</v>
      </c>
      <c r="D72" s="7">
        <f>C72*D56</f>
        <v>0.07015500000000001</v>
      </c>
      <c r="E72" s="6">
        <f aca="true" t="shared" si="46" ref="E72:P72">E$7*$D$72</f>
        <v>0</v>
      </c>
      <c r="F72" s="6">
        <f t="shared" si="46"/>
        <v>0</v>
      </c>
      <c r="G72" s="6">
        <f t="shared" si="46"/>
        <v>0</v>
      </c>
      <c r="H72" s="6">
        <f t="shared" si="46"/>
        <v>0</v>
      </c>
      <c r="I72" s="6">
        <f t="shared" si="46"/>
        <v>0</v>
      </c>
      <c r="J72" s="6">
        <f t="shared" si="46"/>
        <v>0</v>
      </c>
      <c r="K72" s="6">
        <f t="shared" si="46"/>
        <v>0</v>
      </c>
      <c r="L72" s="6">
        <f t="shared" si="46"/>
        <v>0</v>
      </c>
      <c r="M72" s="6">
        <f t="shared" si="46"/>
        <v>0</v>
      </c>
      <c r="N72" s="6">
        <f t="shared" si="46"/>
        <v>0</v>
      </c>
      <c r="O72" s="6">
        <f t="shared" si="46"/>
        <v>0</v>
      </c>
      <c r="P72" s="6">
        <f t="shared" si="46"/>
        <v>0</v>
      </c>
      <c r="Q72" s="47"/>
      <c r="R72" s="47">
        <f t="shared" si="45"/>
        <v>0</v>
      </c>
    </row>
    <row r="73" spans="1:18" ht="15">
      <c r="A73" s="15"/>
      <c r="B73" s="15" t="s">
        <v>65</v>
      </c>
      <c r="C73" s="15">
        <v>0.9</v>
      </c>
      <c r="D73" s="7">
        <f>C73*D57</f>
        <v>3.618</v>
      </c>
      <c r="E73" s="6">
        <f aca="true" t="shared" si="47" ref="E73:P73">$D$73*E$10</f>
        <v>0</v>
      </c>
      <c r="F73" s="6">
        <f t="shared" si="47"/>
        <v>0</v>
      </c>
      <c r="G73" s="6">
        <f t="shared" si="47"/>
        <v>0</v>
      </c>
      <c r="H73" s="6">
        <f t="shared" si="47"/>
        <v>0</v>
      </c>
      <c r="I73" s="6">
        <f t="shared" si="47"/>
        <v>0</v>
      </c>
      <c r="J73" s="6">
        <f t="shared" si="47"/>
        <v>0</v>
      </c>
      <c r="K73" s="6">
        <f t="shared" si="47"/>
        <v>0</v>
      </c>
      <c r="L73" s="6">
        <f t="shared" si="47"/>
        <v>0</v>
      </c>
      <c r="M73" s="6">
        <f t="shared" si="47"/>
        <v>0</v>
      </c>
      <c r="N73" s="6">
        <f t="shared" si="47"/>
        <v>0</v>
      </c>
      <c r="O73" s="6">
        <f t="shared" si="47"/>
        <v>0</v>
      </c>
      <c r="P73" s="6">
        <f t="shared" si="47"/>
        <v>0</v>
      </c>
      <c r="Q73" s="47"/>
      <c r="R73" s="47">
        <f t="shared" si="45"/>
        <v>0</v>
      </c>
    </row>
    <row r="74" spans="1:18" ht="15">
      <c r="A74" s="15"/>
      <c r="B74" s="40" t="s">
        <v>67</v>
      </c>
      <c r="D74" s="8"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v>0.0020411</v>
      </c>
      <c r="E75" s="6">
        <f aca="true" t="shared" si="49" ref="E75:P75">E$7*$D$75</f>
        <v>0</v>
      </c>
      <c r="F75" s="6">
        <f t="shared" si="49"/>
        <v>0</v>
      </c>
      <c r="G75" s="6">
        <f t="shared" si="49"/>
        <v>0</v>
      </c>
      <c r="H75" s="6">
        <f t="shared" si="49"/>
        <v>0</v>
      </c>
      <c r="I75" s="6">
        <f t="shared" si="49"/>
        <v>0</v>
      </c>
      <c r="J75" s="6">
        <f t="shared" si="49"/>
        <v>0</v>
      </c>
      <c r="K75" s="6">
        <f t="shared" si="49"/>
        <v>0</v>
      </c>
      <c r="L75" s="6">
        <f t="shared" si="49"/>
        <v>0</v>
      </c>
      <c r="M75" s="6">
        <f t="shared" si="49"/>
        <v>0</v>
      </c>
      <c r="N75" s="6">
        <f t="shared" si="49"/>
        <v>0</v>
      </c>
      <c r="O75" s="6">
        <f t="shared" si="49"/>
        <v>0</v>
      </c>
      <c r="P75" s="6">
        <f t="shared" si="49"/>
        <v>0</v>
      </c>
      <c r="Q75" s="47"/>
      <c r="R75" s="47">
        <f t="shared" si="45"/>
        <v>0</v>
      </c>
    </row>
    <row r="76" spans="1:18" s="15" customFormat="1" ht="15">
      <c r="A76" s="40"/>
      <c r="B76" s="15" t="s">
        <v>87</v>
      </c>
      <c r="D76" s="8">
        <v>0.000986</v>
      </c>
      <c r="E76" s="6">
        <f aca="true" t="shared" si="50" ref="E76:P76">$D$76*E$7</f>
        <v>0</v>
      </c>
      <c r="F76" s="6">
        <f t="shared" si="50"/>
        <v>0</v>
      </c>
      <c r="G76" s="6">
        <f t="shared" si="50"/>
        <v>0</v>
      </c>
      <c r="H76" s="6">
        <f t="shared" si="50"/>
        <v>0</v>
      </c>
      <c r="I76" s="6">
        <f t="shared" si="50"/>
        <v>0</v>
      </c>
      <c r="J76" s="6">
        <f t="shared" si="50"/>
        <v>0</v>
      </c>
      <c r="K76" s="6">
        <f t="shared" si="50"/>
        <v>0</v>
      </c>
      <c r="L76" s="6">
        <f t="shared" si="50"/>
        <v>0</v>
      </c>
      <c r="M76" s="6">
        <f t="shared" si="50"/>
        <v>0</v>
      </c>
      <c r="N76" s="6">
        <f t="shared" si="50"/>
        <v>0</v>
      </c>
      <c r="O76" s="6">
        <f t="shared" si="50"/>
        <v>0</v>
      </c>
      <c r="P76" s="6">
        <f t="shared" si="50"/>
        <v>0</v>
      </c>
      <c r="Q76" s="47"/>
      <c r="R76" s="47">
        <f t="shared" si="45"/>
        <v>0</v>
      </c>
    </row>
    <row r="77" spans="1:19" s="15" customFormat="1" ht="15">
      <c r="A77" s="41"/>
      <c r="B77" s="15" t="s">
        <v>85</v>
      </c>
      <c r="C77" s="55"/>
      <c r="D77" s="8">
        <v>0.001182</v>
      </c>
      <c r="E77" s="6">
        <f>$D77*E$7</f>
        <v>0</v>
      </c>
      <c r="F77" s="6">
        <f aca="true" t="shared" si="51" ref="F77:P77">$D77*F$7</f>
        <v>0</v>
      </c>
      <c r="G77" s="6">
        <f t="shared" si="51"/>
        <v>0</v>
      </c>
      <c r="H77" s="6">
        <f t="shared" si="51"/>
        <v>0</v>
      </c>
      <c r="I77" s="6">
        <f t="shared" si="51"/>
        <v>0</v>
      </c>
      <c r="J77" s="6">
        <f t="shared" si="51"/>
        <v>0</v>
      </c>
      <c r="K77" s="6">
        <f t="shared" si="51"/>
        <v>0</v>
      </c>
      <c r="L77" s="6">
        <f t="shared" si="51"/>
        <v>0</v>
      </c>
      <c r="M77" s="6">
        <f t="shared" si="51"/>
        <v>0</v>
      </c>
      <c r="N77" s="6">
        <f t="shared" si="51"/>
        <v>0</v>
      </c>
      <c r="O77" s="6">
        <f t="shared" si="51"/>
        <v>0</v>
      </c>
      <c r="P77" s="6">
        <f t="shared" si="51"/>
        <v>0</v>
      </c>
      <c r="Q77" s="47"/>
      <c r="R77" s="47">
        <f t="shared" si="45"/>
        <v>0</v>
      </c>
      <c r="S77" s="20"/>
    </row>
    <row r="78" spans="1:18" ht="15">
      <c r="A78" s="40"/>
      <c r="B78" s="15" t="s">
        <v>60</v>
      </c>
      <c r="D78" s="50"/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v>0.15</v>
      </c>
      <c r="E79" s="6">
        <f>$D$79</f>
        <v>0.15</v>
      </c>
      <c r="F79" s="6">
        <f aca="true" t="shared" si="53" ref="F79:P79">$D$79</f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v>0.00139</v>
      </c>
      <c r="E80" s="6">
        <f aca="true" t="shared" si="54" ref="E80:P80">$D$80*E$7</f>
        <v>0</v>
      </c>
      <c r="F80" s="6">
        <f t="shared" si="54"/>
        <v>0</v>
      </c>
      <c r="G80" s="6">
        <f t="shared" si="54"/>
        <v>0</v>
      </c>
      <c r="H80" s="6">
        <f t="shared" si="54"/>
        <v>0</v>
      </c>
      <c r="I80" s="6">
        <f t="shared" si="54"/>
        <v>0</v>
      </c>
      <c r="J80" s="6">
        <f t="shared" si="54"/>
        <v>0</v>
      </c>
      <c r="K80" s="6">
        <f t="shared" si="54"/>
        <v>0</v>
      </c>
      <c r="L80" s="6">
        <f t="shared" si="54"/>
        <v>0</v>
      </c>
      <c r="M80" s="6">
        <f t="shared" si="54"/>
        <v>0</v>
      </c>
      <c r="N80" s="6">
        <f t="shared" si="54"/>
        <v>0</v>
      </c>
      <c r="O80" s="6">
        <f t="shared" si="54"/>
        <v>0</v>
      </c>
      <c r="P80" s="6">
        <f t="shared" si="54"/>
        <v>0</v>
      </c>
      <c r="Q80" s="47"/>
      <c r="R80" s="47">
        <f t="shared" si="45"/>
        <v>0</v>
      </c>
    </row>
    <row r="81" spans="1:18" s="15" customFormat="1" ht="15">
      <c r="A81" s="40"/>
      <c r="B81" s="15" t="s">
        <v>84</v>
      </c>
      <c r="D81" s="8">
        <v>0.45</v>
      </c>
      <c r="E81" s="6">
        <f aca="true" t="shared" si="55" ref="E81:P81">$D$81*E$10</f>
        <v>0</v>
      </c>
      <c r="F81" s="6">
        <f t="shared" si="55"/>
        <v>0</v>
      </c>
      <c r="G81" s="6">
        <f t="shared" si="55"/>
        <v>0</v>
      </c>
      <c r="H81" s="6">
        <f t="shared" si="55"/>
        <v>0</v>
      </c>
      <c r="I81" s="6">
        <f t="shared" si="55"/>
        <v>0</v>
      </c>
      <c r="J81" s="6">
        <f t="shared" si="55"/>
        <v>0</v>
      </c>
      <c r="K81" s="6">
        <f t="shared" si="55"/>
        <v>0</v>
      </c>
      <c r="L81" s="6">
        <f t="shared" si="55"/>
        <v>0</v>
      </c>
      <c r="M81" s="6">
        <f t="shared" si="55"/>
        <v>0</v>
      </c>
      <c r="N81" s="6">
        <f t="shared" si="55"/>
        <v>0</v>
      </c>
      <c r="O81" s="6">
        <f t="shared" si="55"/>
        <v>0</v>
      </c>
      <c r="P81" s="6">
        <f t="shared" si="55"/>
        <v>0</v>
      </c>
      <c r="Q81" s="47"/>
      <c r="R81" s="47">
        <f t="shared" si="45"/>
        <v>0</v>
      </c>
    </row>
    <row r="82" spans="1:18" s="15" customFormat="1" ht="15">
      <c r="A82" s="40"/>
      <c r="B82" s="15" t="s">
        <v>62</v>
      </c>
      <c r="D82" s="51">
        <v>0.062297</v>
      </c>
      <c r="E82" s="6">
        <f aca="true" t="shared" si="56" ref="E82:P82">$D82*(SUM(E71:E81)-($C$75+$D$75)*E$7)</f>
        <v>5.30458955</v>
      </c>
      <c r="F82" s="6">
        <f t="shared" si="56"/>
        <v>5.30458955</v>
      </c>
      <c r="G82" s="6">
        <f t="shared" si="56"/>
        <v>5.30458955</v>
      </c>
      <c r="H82" s="6">
        <f t="shared" si="56"/>
        <v>5.30458955</v>
      </c>
      <c r="I82" s="6">
        <f t="shared" si="56"/>
        <v>5.30458955</v>
      </c>
      <c r="J82" s="6">
        <f t="shared" si="56"/>
        <v>5.30458955</v>
      </c>
      <c r="K82" s="6">
        <f t="shared" si="56"/>
        <v>5.30458955</v>
      </c>
      <c r="L82" s="6">
        <f t="shared" si="56"/>
        <v>5.30458955</v>
      </c>
      <c r="M82" s="6">
        <f t="shared" si="56"/>
        <v>5.30458955</v>
      </c>
      <c r="N82" s="6">
        <f t="shared" si="56"/>
        <v>5.30458955</v>
      </c>
      <c r="O82" s="6">
        <f t="shared" si="56"/>
        <v>5.30458955</v>
      </c>
      <c r="P82" s="6">
        <f t="shared" si="56"/>
        <v>5.30458955</v>
      </c>
      <c r="Q82" s="47"/>
      <c r="R82" s="47">
        <f t="shared" si="45"/>
        <v>63.65507460000001</v>
      </c>
    </row>
    <row r="83" spans="1:19" s="15" customFormat="1" ht="15.75" thickBot="1">
      <c r="A83" s="41"/>
      <c r="B83" s="15" t="s">
        <v>63</v>
      </c>
      <c r="D83" s="51">
        <v>0.098027</v>
      </c>
      <c r="E83" s="6">
        <f aca="true" t="shared" si="57" ref="E83:P83">$D83*(SUM(E71:E81)-($C$75+$D$75)*E$7)</f>
        <v>8.34699905</v>
      </c>
      <c r="F83" s="6">
        <f t="shared" si="57"/>
        <v>8.34699905</v>
      </c>
      <c r="G83" s="6">
        <f t="shared" si="57"/>
        <v>8.34699905</v>
      </c>
      <c r="H83" s="6">
        <f t="shared" si="57"/>
        <v>8.34699905</v>
      </c>
      <c r="I83" s="6">
        <f t="shared" si="57"/>
        <v>8.34699905</v>
      </c>
      <c r="J83" s="6">
        <f t="shared" si="57"/>
        <v>8.34699905</v>
      </c>
      <c r="K83" s="6">
        <f t="shared" si="57"/>
        <v>8.34699905</v>
      </c>
      <c r="L83" s="6">
        <f t="shared" si="57"/>
        <v>8.34699905</v>
      </c>
      <c r="M83" s="6">
        <f t="shared" si="57"/>
        <v>8.34699905</v>
      </c>
      <c r="N83" s="6">
        <f t="shared" si="57"/>
        <v>8.34699905</v>
      </c>
      <c r="O83" s="6">
        <f t="shared" si="57"/>
        <v>8.34699905</v>
      </c>
      <c r="P83" s="6">
        <f t="shared" si="57"/>
        <v>8.34699905</v>
      </c>
      <c r="R83" s="47">
        <f t="shared" si="45"/>
        <v>100.16398859999998</v>
      </c>
      <c r="S83" s="20"/>
    </row>
    <row r="84" spans="1:18" ht="15.75" thickBot="1">
      <c r="A84" s="40"/>
      <c r="B84" s="15"/>
      <c r="D84" s="9" t="s">
        <v>24</v>
      </c>
      <c r="E84" s="52">
        <f aca="true" t="shared" si="58" ref="E84:P84">SUM(E71:E83)</f>
        <v>98.8015886</v>
      </c>
      <c r="F84" s="52">
        <f t="shared" si="58"/>
        <v>98.8015886</v>
      </c>
      <c r="G84" s="52">
        <f t="shared" si="58"/>
        <v>98.8015886</v>
      </c>
      <c r="H84" s="52">
        <f t="shared" si="58"/>
        <v>98.8015886</v>
      </c>
      <c r="I84" s="52">
        <f t="shared" si="58"/>
        <v>98.8015886</v>
      </c>
      <c r="J84" s="52">
        <f t="shared" si="58"/>
        <v>98.8015886</v>
      </c>
      <c r="K84" s="52">
        <f t="shared" si="58"/>
        <v>98.8015886</v>
      </c>
      <c r="L84" s="52">
        <f t="shared" si="58"/>
        <v>98.8015886</v>
      </c>
      <c r="M84" s="52">
        <f t="shared" si="58"/>
        <v>98.8015886</v>
      </c>
      <c r="N84" s="52">
        <f t="shared" si="58"/>
        <v>98.8015886</v>
      </c>
      <c r="O84" s="52">
        <f t="shared" si="58"/>
        <v>98.8015886</v>
      </c>
      <c r="P84" s="52">
        <f t="shared" si="58"/>
        <v>98.8015886</v>
      </c>
      <c r="Q84" s="53"/>
      <c r="R84" s="54">
        <f>SUM(E84:P84)</f>
        <v>1185.6190632000003</v>
      </c>
    </row>
    <row r="87" spans="1:18" s="15" customFormat="1" ht="18.75">
      <c r="A87" s="15">
        <v>7</v>
      </c>
      <c r="B87" s="42" t="s">
        <v>70</v>
      </c>
      <c r="C87" s="5"/>
      <c r="D87" s="57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 s="15" customFormat="1" ht="15">
      <c r="B88" s="15" t="s">
        <v>22</v>
      </c>
      <c r="D88" s="7"/>
      <c r="E88" s="6">
        <f>$D$71</f>
        <v>85</v>
      </c>
      <c r="F88" s="6">
        <f aca="true" t="shared" si="59" ref="F88:P88">$D$71</f>
        <v>85</v>
      </c>
      <c r="G88" s="6">
        <f t="shared" si="59"/>
        <v>85</v>
      </c>
      <c r="H88" s="6">
        <f t="shared" si="59"/>
        <v>85</v>
      </c>
      <c r="I88" s="6">
        <f t="shared" si="59"/>
        <v>85</v>
      </c>
      <c r="J88" s="6">
        <f t="shared" si="59"/>
        <v>85</v>
      </c>
      <c r="K88" s="6">
        <f t="shared" si="59"/>
        <v>85</v>
      </c>
      <c r="L88" s="6">
        <f t="shared" si="59"/>
        <v>85</v>
      </c>
      <c r="M88" s="6">
        <f t="shared" si="59"/>
        <v>85</v>
      </c>
      <c r="N88" s="6">
        <f t="shared" si="59"/>
        <v>85</v>
      </c>
      <c r="O88" s="6">
        <f t="shared" si="59"/>
        <v>85</v>
      </c>
      <c r="P88" s="6">
        <f t="shared" si="59"/>
        <v>85</v>
      </c>
      <c r="Q88" s="47"/>
      <c r="R88" s="47">
        <f aca="true" t="shared" si="60" ref="R88:R100">SUM(E88:P88)</f>
        <v>1020</v>
      </c>
    </row>
    <row r="89" spans="2:18" s="15" customFormat="1" ht="15">
      <c r="B89" s="15" t="s">
        <v>71</v>
      </c>
      <c r="D89" s="8"/>
      <c r="E89" s="6">
        <f aca="true" t="shared" si="61" ref="E89:P89">E$7*$D$72</f>
        <v>0</v>
      </c>
      <c r="F89" s="6">
        <f t="shared" si="61"/>
        <v>0</v>
      </c>
      <c r="G89" s="6">
        <f t="shared" si="61"/>
        <v>0</v>
      </c>
      <c r="H89" s="6">
        <f t="shared" si="61"/>
        <v>0</v>
      </c>
      <c r="I89" s="6">
        <f t="shared" si="61"/>
        <v>0</v>
      </c>
      <c r="J89" s="6">
        <f t="shared" si="61"/>
        <v>0</v>
      </c>
      <c r="K89" s="6">
        <f t="shared" si="61"/>
        <v>0</v>
      </c>
      <c r="L89" s="6">
        <f t="shared" si="61"/>
        <v>0</v>
      </c>
      <c r="M89" s="6">
        <f t="shared" si="61"/>
        <v>0</v>
      </c>
      <c r="N89" s="6">
        <f t="shared" si="61"/>
        <v>0</v>
      </c>
      <c r="O89" s="6">
        <f t="shared" si="61"/>
        <v>0</v>
      </c>
      <c r="P89" s="6">
        <f t="shared" si="61"/>
        <v>0</v>
      </c>
      <c r="Q89" s="47"/>
      <c r="R89" s="47">
        <f t="shared" si="60"/>
        <v>0</v>
      </c>
    </row>
    <row r="90" spans="2:18" s="15" customFormat="1" ht="15">
      <c r="B90" s="15" t="s">
        <v>72</v>
      </c>
      <c r="D90" s="8"/>
      <c r="E90" s="6">
        <f aca="true" t="shared" si="62" ref="E90:P90">$D$90*E$8</f>
        <v>0</v>
      </c>
      <c r="F90" s="6">
        <f t="shared" si="62"/>
        <v>0</v>
      </c>
      <c r="G90" s="6">
        <f t="shared" si="62"/>
        <v>0</v>
      </c>
      <c r="H90" s="6">
        <f t="shared" si="62"/>
        <v>0</v>
      </c>
      <c r="I90" s="6">
        <f t="shared" si="62"/>
        <v>0</v>
      </c>
      <c r="J90" s="6">
        <f t="shared" si="62"/>
        <v>0</v>
      </c>
      <c r="K90" s="6">
        <f t="shared" si="62"/>
        <v>0</v>
      </c>
      <c r="L90" s="6">
        <f t="shared" si="62"/>
        <v>0</v>
      </c>
      <c r="M90" s="6">
        <f t="shared" si="62"/>
        <v>0</v>
      </c>
      <c r="N90" s="6">
        <f t="shared" si="62"/>
        <v>0</v>
      </c>
      <c r="O90" s="6">
        <f t="shared" si="62"/>
        <v>0</v>
      </c>
      <c r="P90" s="6">
        <f t="shared" si="62"/>
        <v>0</v>
      </c>
      <c r="Q90" s="47"/>
      <c r="R90" s="47">
        <f t="shared" si="60"/>
        <v>0</v>
      </c>
    </row>
    <row r="91" spans="2:18" s="15" customFormat="1" ht="15">
      <c r="B91" s="15" t="s">
        <v>65</v>
      </c>
      <c r="D91" s="7"/>
      <c r="E91" s="6">
        <f aca="true" t="shared" si="63" ref="E91:P91">$D$91*E$10</f>
        <v>0</v>
      </c>
      <c r="F91" s="6">
        <f t="shared" si="63"/>
        <v>0</v>
      </c>
      <c r="G91" s="6">
        <f t="shared" si="63"/>
        <v>0</v>
      </c>
      <c r="H91" s="6">
        <f t="shared" si="63"/>
        <v>0</v>
      </c>
      <c r="I91" s="6">
        <f t="shared" si="63"/>
        <v>0</v>
      </c>
      <c r="J91" s="6">
        <f t="shared" si="63"/>
        <v>0</v>
      </c>
      <c r="K91" s="6">
        <f t="shared" si="63"/>
        <v>0</v>
      </c>
      <c r="L91" s="6">
        <f t="shared" si="63"/>
        <v>0</v>
      </c>
      <c r="M91" s="6">
        <f t="shared" si="63"/>
        <v>0</v>
      </c>
      <c r="N91" s="6">
        <f t="shared" si="63"/>
        <v>0</v>
      </c>
      <c r="O91" s="6">
        <f t="shared" si="63"/>
        <v>0</v>
      </c>
      <c r="P91" s="6">
        <f t="shared" si="63"/>
        <v>0</v>
      </c>
      <c r="Q91" s="47"/>
      <c r="R91" s="47">
        <f t="shared" si="60"/>
        <v>0</v>
      </c>
    </row>
    <row r="92" spans="2:18" s="15" customFormat="1" ht="15">
      <c r="B92" s="40" t="s">
        <v>67</v>
      </c>
      <c r="D92" s="7"/>
      <c r="E92" s="6">
        <f aca="true" t="shared" si="64" ref="E92:P92">IF((1/E$13)*100&gt;1.15,($D$92*(E$10/E$13*100-1.15*E$10)),0)</f>
        <v>0</v>
      </c>
      <c r="F92" s="6">
        <f t="shared" si="64"/>
        <v>0</v>
      </c>
      <c r="G92" s="6">
        <f t="shared" si="64"/>
        <v>0</v>
      </c>
      <c r="H92" s="6">
        <f t="shared" si="64"/>
        <v>0</v>
      </c>
      <c r="I92" s="6">
        <f t="shared" si="64"/>
        <v>0</v>
      </c>
      <c r="J92" s="6">
        <f t="shared" si="64"/>
        <v>0</v>
      </c>
      <c r="K92" s="6">
        <f t="shared" si="64"/>
        <v>0</v>
      </c>
      <c r="L92" s="6">
        <f t="shared" si="64"/>
        <v>0</v>
      </c>
      <c r="M92" s="6">
        <f t="shared" si="64"/>
        <v>0</v>
      </c>
      <c r="N92" s="6">
        <f t="shared" si="64"/>
        <v>0</v>
      </c>
      <c r="O92" s="6">
        <f t="shared" si="64"/>
        <v>0</v>
      </c>
      <c r="P92" s="6">
        <f t="shared" si="64"/>
        <v>0</v>
      </c>
      <c r="Q92" s="47"/>
      <c r="R92" s="47">
        <f t="shared" si="60"/>
        <v>0</v>
      </c>
    </row>
    <row r="93" spans="2:18" s="15" customFormat="1" ht="15">
      <c r="B93" s="15" t="s">
        <v>87</v>
      </c>
      <c r="D93" s="8"/>
      <c r="E93" s="6">
        <f aca="true" t="shared" si="65" ref="E93:P93">$D$93*E$7</f>
        <v>0</v>
      </c>
      <c r="F93" s="6">
        <f t="shared" si="65"/>
        <v>0</v>
      </c>
      <c r="G93" s="6">
        <f t="shared" si="65"/>
        <v>0</v>
      </c>
      <c r="H93" s="6">
        <f t="shared" si="65"/>
        <v>0</v>
      </c>
      <c r="I93" s="6">
        <f t="shared" si="65"/>
        <v>0</v>
      </c>
      <c r="J93" s="6">
        <f t="shared" si="65"/>
        <v>0</v>
      </c>
      <c r="K93" s="6">
        <f t="shared" si="65"/>
        <v>0</v>
      </c>
      <c r="L93" s="6">
        <f t="shared" si="65"/>
        <v>0</v>
      </c>
      <c r="M93" s="6">
        <f t="shared" si="65"/>
        <v>0</v>
      </c>
      <c r="N93" s="6">
        <f t="shared" si="65"/>
        <v>0</v>
      </c>
      <c r="O93" s="6">
        <f t="shared" si="65"/>
        <v>0</v>
      </c>
      <c r="P93" s="6">
        <f t="shared" si="65"/>
        <v>0</v>
      </c>
      <c r="Q93" s="47"/>
      <c r="R93" s="47">
        <f t="shared" si="60"/>
        <v>0</v>
      </c>
    </row>
    <row r="94" spans="1:18" s="15" customFormat="1" ht="15.75" customHeight="1">
      <c r="A94" s="40"/>
      <c r="B94" s="15" t="s">
        <v>64</v>
      </c>
      <c r="C94" s="55"/>
      <c r="D94" s="8"/>
      <c r="E94" s="6">
        <f aca="true" t="shared" si="66" ref="E94:P94">E$7*$D$94</f>
        <v>0</v>
      </c>
      <c r="F94" s="6">
        <f t="shared" si="66"/>
        <v>0</v>
      </c>
      <c r="G94" s="6">
        <f t="shared" si="66"/>
        <v>0</v>
      </c>
      <c r="H94" s="6">
        <f t="shared" si="66"/>
        <v>0</v>
      </c>
      <c r="I94" s="6">
        <f t="shared" si="66"/>
        <v>0</v>
      </c>
      <c r="J94" s="6">
        <f t="shared" si="66"/>
        <v>0</v>
      </c>
      <c r="K94" s="6">
        <f t="shared" si="66"/>
        <v>0</v>
      </c>
      <c r="L94" s="6">
        <f t="shared" si="66"/>
        <v>0</v>
      </c>
      <c r="M94" s="6">
        <f t="shared" si="66"/>
        <v>0</v>
      </c>
      <c r="N94" s="6">
        <f t="shared" si="66"/>
        <v>0</v>
      </c>
      <c r="O94" s="6">
        <f t="shared" si="66"/>
        <v>0</v>
      </c>
      <c r="P94" s="6">
        <f t="shared" si="66"/>
        <v>0</v>
      </c>
      <c r="Q94" s="47"/>
      <c r="R94" s="47">
        <f t="shared" si="60"/>
        <v>0</v>
      </c>
    </row>
    <row r="95" spans="1:19" s="15" customFormat="1" ht="15">
      <c r="A95" s="41"/>
      <c r="B95" s="15" t="s">
        <v>85</v>
      </c>
      <c r="C95" s="55"/>
      <c r="D95" s="8"/>
      <c r="E95" s="6">
        <f>$D95*E$7</f>
        <v>0</v>
      </c>
      <c r="F95" s="6">
        <f aca="true" t="shared" si="67" ref="F95:P95">$D95*F$7</f>
        <v>0</v>
      </c>
      <c r="G95" s="6">
        <f t="shared" si="67"/>
        <v>0</v>
      </c>
      <c r="H95" s="6">
        <f t="shared" si="67"/>
        <v>0</v>
      </c>
      <c r="I95" s="6">
        <f t="shared" si="67"/>
        <v>0</v>
      </c>
      <c r="J95" s="6">
        <f t="shared" si="67"/>
        <v>0</v>
      </c>
      <c r="K95" s="6">
        <f t="shared" si="67"/>
        <v>0</v>
      </c>
      <c r="L95" s="6">
        <f t="shared" si="67"/>
        <v>0</v>
      </c>
      <c r="M95" s="6">
        <f t="shared" si="67"/>
        <v>0</v>
      </c>
      <c r="N95" s="6">
        <f t="shared" si="67"/>
        <v>0</v>
      </c>
      <c r="O95" s="6">
        <f t="shared" si="67"/>
        <v>0</v>
      </c>
      <c r="P95" s="6">
        <f t="shared" si="67"/>
        <v>0</v>
      </c>
      <c r="Q95" s="47"/>
      <c r="R95" s="47">
        <f t="shared" si="60"/>
        <v>0</v>
      </c>
      <c r="S95" s="20"/>
    </row>
    <row r="96" spans="1:19" s="15" customFormat="1" ht="14.25" customHeight="1">
      <c r="A96" s="41"/>
      <c r="B96" s="15" t="s">
        <v>60</v>
      </c>
      <c r="D96" s="50"/>
      <c r="E96" s="6">
        <f>(SUM(E88:E92)+SUM(E93:E95)-($D94+$C94)*E$7)*$D96</f>
        <v>0</v>
      </c>
      <c r="F96" s="6">
        <f aca="true" t="shared" si="68" ref="F96:P96">(SUM(F88:F92)+SUM(F93:F95)-($D94+$C94)*F$7)*$D96</f>
        <v>0</v>
      </c>
      <c r="G96" s="6">
        <f t="shared" si="68"/>
        <v>0</v>
      </c>
      <c r="H96" s="6">
        <f t="shared" si="68"/>
        <v>0</v>
      </c>
      <c r="I96" s="6">
        <f t="shared" si="68"/>
        <v>0</v>
      </c>
      <c r="J96" s="6">
        <f t="shared" si="68"/>
        <v>0</v>
      </c>
      <c r="K96" s="6">
        <f t="shared" si="68"/>
        <v>0</v>
      </c>
      <c r="L96" s="6">
        <f t="shared" si="68"/>
        <v>0</v>
      </c>
      <c r="M96" s="6">
        <f t="shared" si="68"/>
        <v>0</v>
      </c>
      <c r="N96" s="6">
        <f t="shared" si="68"/>
        <v>0</v>
      </c>
      <c r="O96" s="6">
        <f t="shared" si="68"/>
        <v>0</v>
      </c>
      <c r="P96" s="6">
        <f t="shared" si="68"/>
        <v>0</v>
      </c>
      <c r="Q96" s="47"/>
      <c r="R96" s="47">
        <f t="shared" si="60"/>
        <v>0</v>
      </c>
      <c r="S96" s="20"/>
    </row>
    <row r="97" spans="1:18" s="15" customFormat="1" ht="15">
      <c r="A97" s="40"/>
      <c r="B97" s="15" t="s">
        <v>61</v>
      </c>
      <c r="D97" s="8"/>
      <c r="E97" s="6">
        <f>$D$97</f>
        <v>0</v>
      </c>
      <c r="F97" s="6">
        <f aca="true" t="shared" si="69" ref="F97:P97">$D$97</f>
        <v>0</v>
      </c>
      <c r="G97" s="6">
        <f t="shared" si="69"/>
        <v>0</v>
      </c>
      <c r="H97" s="6">
        <f t="shared" si="69"/>
        <v>0</v>
      </c>
      <c r="I97" s="6">
        <f t="shared" si="69"/>
        <v>0</v>
      </c>
      <c r="J97" s="6">
        <f t="shared" si="69"/>
        <v>0</v>
      </c>
      <c r="K97" s="6">
        <f t="shared" si="69"/>
        <v>0</v>
      </c>
      <c r="L97" s="6">
        <f t="shared" si="69"/>
        <v>0</v>
      </c>
      <c r="M97" s="6">
        <f t="shared" si="69"/>
        <v>0</v>
      </c>
      <c r="N97" s="6">
        <f t="shared" si="69"/>
        <v>0</v>
      </c>
      <c r="O97" s="6">
        <f t="shared" si="69"/>
        <v>0</v>
      </c>
      <c r="P97" s="6">
        <f t="shared" si="69"/>
        <v>0</v>
      </c>
      <c r="Q97" s="47"/>
      <c r="R97" s="47">
        <f t="shared" si="60"/>
        <v>0</v>
      </c>
    </row>
    <row r="98" spans="1:18" s="15" customFormat="1" ht="15">
      <c r="A98" s="40"/>
      <c r="B98" s="15" t="s">
        <v>68</v>
      </c>
      <c r="D98" s="8"/>
      <c r="E98" s="6">
        <f aca="true" t="shared" si="70" ref="E98:P98">$D$98*E$7</f>
        <v>0</v>
      </c>
      <c r="F98" s="6">
        <f t="shared" si="70"/>
        <v>0</v>
      </c>
      <c r="G98" s="6">
        <f t="shared" si="70"/>
        <v>0</v>
      </c>
      <c r="H98" s="6">
        <f t="shared" si="70"/>
        <v>0</v>
      </c>
      <c r="I98" s="6">
        <f t="shared" si="70"/>
        <v>0</v>
      </c>
      <c r="J98" s="6">
        <f t="shared" si="70"/>
        <v>0</v>
      </c>
      <c r="K98" s="6">
        <f t="shared" si="70"/>
        <v>0</v>
      </c>
      <c r="L98" s="6">
        <f t="shared" si="70"/>
        <v>0</v>
      </c>
      <c r="M98" s="6">
        <f t="shared" si="70"/>
        <v>0</v>
      </c>
      <c r="N98" s="6">
        <f t="shared" si="70"/>
        <v>0</v>
      </c>
      <c r="O98" s="6">
        <f t="shared" si="70"/>
        <v>0</v>
      </c>
      <c r="P98" s="6">
        <f t="shared" si="70"/>
        <v>0</v>
      </c>
      <c r="Q98" s="47"/>
      <c r="R98" s="47">
        <f t="shared" si="60"/>
        <v>0</v>
      </c>
    </row>
    <row r="99" spans="1:18" s="15" customFormat="1" ht="15">
      <c r="A99" s="40"/>
      <c r="B99" s="15" t="s">
        <v>62</v>
      </c>
      <c r="D99" s="51"/>
      <c r="E99" s="6">
        <f aca="true" t="shared" si="71" ref="E99:P99">$D$99*(SUM(E88:E91)+E96+E97+E98-$C$94*E$7)</f>
        <v>0</v>
      </c>
      <c r="F99" s="6">
        <f t="shared" si="71"/>
        <v>0</v>
      </c>
      <c r="G99" s="6">
        <f t="shared" si="71"/>
        <v>0</v>
      </c>
      <c r="H99" s="6">
        <f t="shared" si="71"/>
        <v>0</v>
      </c>
      <c r="I99" s="6">
        <f t="shared" si="71"/>
        <v>0</v>
      </c>
      <c r="J99" s="6">
        <f t="shared" si="71"/>
        <v>0</v>
      </c>
      <c r="K99" s="6">
        <f t="shared" si="71"/>
        <v>0</v>
      </c>
      <c r="L99" s="6">
        <f t="shared" si="71"/>
        <v>0</v>
      </c>
      <c r="M99" s="6">
        <f t="shared" si="71"/>
        <v>0</v>
      </c>
      <c r="N99" s="6">
        <f t="shared" si="71"/>
        <v>0</v>
      </c>
      <c r="O99" s="6">
        <f t="shared" si="71"/>
        <v>0</v>
      </c>
      <c r="P99" s="6">
        <f t="shared" si="71"/>
        <v>0</v>
      </c>
      <c r="Q99" s="47"/>
      <c r="R99" s="47">
        <f t="shared" si="60"/>
        <v>0</v>
      </c>
    </row>
    <row r="100" spans="1:18" s="15" customFormat="1" ht="15.75" thickBot="1">
      <c r="A100" s="40"/>
      <c r="B100" s="15" t="s">
        <v>63</v>
      </c>
      <c r="D100" s="51"/>
      <c r="E100" s="6">
        <f aca="true" t="shared" si="72" ref="E100:P100">$D$100*(SUM(E88:E91)+E96+E97+E98-$C$75*E$7)</f>
        <v>0</v>
      </c>
      <c r="F100" s="6">
        <f t="shared" si="72"/>
        <v>0</v>
      </c>
      <c r="G100" s="6">
        <f t="shared" si="72"/>
        <v>0</v>
      </c>
      <c r="H100" s="6">
        <f t="shared" si="72"/>
        <v>0</v>
      </c>
      <c r="I100" s="6">
        <f t="shared" si="72"/>
        <v>0</v>
      </c>
      <c r="J100" s="6">
        <f t="shared" si="72"/>
        <v>0</v>
      </c>
      <c r="K100" s="6">
        <f t="shared" si="72"/>
        <v>0</v>
      </c>
      <c r="L100" s="6">
        <f t="shared" si="72"/>
        <v>0</v>
      </c>
      <c r="M100" s="6">
        <f t="shared" si="72"/>
        <v>0</v>
      </c>
      <c r="N100" s="6">
        <f t="shared" si="72"/>
        <v>0</v>
      </c>
      <c r="O100" s="6">
        <f t="shared" si="72"/>
        <v>0</v>
      </c>
      <c r="P100" s="6">
        <f t="shared" si="72"/>
        <v>0</v>
      </c>
      <c r="R100" s="47">
        <f t="shared" si="60"/>
        <v>0</v>
      </c>
    </row>
    <row r="101" spans="1:18" s="15" customFormat="1" ht="15.75" thickBot="1">
      <c r="A101" s="40"/>
      <c r="D101" s="9" t="s">
        <v>24</v>
      </c>
      <c r="E101" s="52">
        <f>SUM(E88:E100)</f>
        <v>85</v>
      </c>
      <c r="F101" s="52">
        <f aca="true" t="shared" si="73" ref="F101:P101">SUM(F88:F100)</f>
        <v>85</v>
      </c>
      <c r="G101" s="52">
        <f t="shared" si="73"/>
        <v>85</v>
      </c>
      <c r="H101" s="52">
        <f t="shared" si="73"/>
        <v>85</v>
      </c>
      <c r="I101" s="52">
        <f t="shared" si="73"/>
        <v>85</v>
      </c>
      <c r="J101" s="52">
        <f t="shared" si="73"/>
        <v>85</v>
      </c>
      <c r="K101" s="52">
        <f t="shared" si="73"/>
        <v>85</v>
      </c>
      <c r="L101" s="52">
        <f t="shared" si="73"/>
        <v>85</v>
      </c>
      <c r="M101" s="52">
        <f t="shared" si="73"/>
        <v>85</v>
      </c>
      <c r="N101" s="52">
        <f t="shared" si="73"/>
        <v>85</v>
      </c>
      <c r="O101" s="52">
        <f t="shared" si="73"/>
        <v>85</v>
      </c>
      <c r="P101" s="52">
        <f t="shared" si="73"/>
        <v>85</v>
      </c>
      <c r="Q101" s="53"/>
      <c r="R101" s="54">
        <f>SUM(E101:P101)</f>
        <v>1020</v>
      </c>
    </row>
    <row r="102" s="15" customFormat="1" ht="15"/>
    <row r="103" s="15" customFormat="1" ht="15"/>
    <row r="104" spans="1:18" s="15" customFormat="1" ht="15.75" customHeight="1">
      <c r="A104" s="15">
        <v>8</v>
      </c>
      <c r="B104" s="42" t="s">
        <v>69</v>
      </c>
      <c r="C104" s="5"/>
      <c r="D104" s="57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2:18" s="15" customFormat="1" ht="15">
      <c r="B105" s="15" t="s">
        <v>22</v>
      </c>
      <c r="D105" s="7">
        <v>85</v>
      </c>
      <c r="E105" s="6">
        <f>$D$105</f>
        <v>85</v>
      </c>
      <c r="F105" s="6">
        <f aca="true" t="shared" si="74" ref="F105:P105">$D$105</f>
        <v>85</v>
      </c>
      <c r="G105" s="6">
        <f t="shared" si="74"/>
        <v>85</v>
      </c>
      <c r="H105" s="6">
        <f t="shared" si="74"/>
        <v>85</v>
      </c>
      <c r="I105" s="6">
        <f t="shared" si="74"/>
        <v>85</v>
      </c>
      <c r="J105" s="6">
        <f t="shared" si="74"/>
        <v>85</v>
      </c>
      <c r="K105" s="6">
        <f t="shared" si="74"/>
        <v>85</v>
      </c>
      <c r="L105" s="6">
        <f t="shared" si="74"/>
        <v>85</v>
      </c>
      <c r="M105" s="6">
        <f t="shared" si="74"/>
        <v>85</v>
      </c>
      <c r="N105" s="6">
        <f t="shared" si="74"/>
        <v>85</v>
      </c>
      <c r="O105" s="6">
        <f t="shared" si="74"/>
        <v>85</v>
      </c>
      <c r="P105" s="6">
        <f t="shared" si="74"/>
        <v>85</v>
      </c>
      <c r="Q105" s="47"/>
      <c r="R105" s="47">
        <f aca="true" t="shared" si="75" ref="R105:R118">SUM(E105:P105)</f>
        <v>1020</v>
      </c>
    </row>
    <row r="106" spans="2:18" s="15" customFormat="1" ht="15">
      <c r="B106" s="15" t="s">
        <v>71</v>
      </c>
      <c r="D106" s="8"/>
      <c r="E106" s="6">
        <f aca="true" t="shared" si="76" ref="E106:P106">E$7*$D$106</f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0</v>
      </c>
      <c r="K106" s="6">
        <f t="shared" si="76"/>
        <v>0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47"/>
      <c r="R106" s="47">
        <f t="shared" si="75"/>
        <v>0</v>
      </c>
    </row>
    <row r="107" spans="2:18" s="15" customFormat="1" ht="15">
      <c r="B107" s="15" t="s">
        <v>72</v>
      </c>
      <c r="D107" s="8"/>
      <c r="E107" s="6">
        <f aca="true" t="shared" si="77" ref="E107:P107">$D$107*E$8</f>
        <v>0</v>
      </c>
      <c r="F107" s="6">
        <f t="shared" si="77"/>
        <v>0</v>
      </c>
      <c r="G107" s="6">
        <f t="shared" si="77"/>
        <v>0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47"/>
      <c r="R107" s="47">
        <f t="shared" si="75"/>
        <v>0</v>
      </c>
    </row>
    <row r="108" spans="2:18" s="15" customFormat="1" ht="15">
      <c r="B108" s="15" t="s">
        <v>65</v>
      </c>
      <c r="D108" s="7"/>
      <c r="E108" s="6">
        <f aca="true" t="shared" si="78" ref="E108:P108">$D$108*E$10</f>
        <v>0</v>
      </c>
      <c r="F108" s="6">
        <f t="shared" si="78"/>
        <v>0</v>
      </c>
      <c r="G108" s="6">
        <f t="shared" si="78"/>
        <v>0</v>
      </c>
      <c r="H108" s="6">
        <f t="shared" si="78"/>
        <v>0</v>
      </c>
      <c r="I108" s="6">
        <f t="shared" si="78"/>
        <v>0</v>
      </c>
      <c r="J108" s="6">
        <f t="shared" si="78"/>
        <v>0</v>
      </c>
      <c r="K108" s="6">
        <f t="shared" si="78"/>
        <v>0</v>
      </c>
      <c r="L108" s="6">
        <f t="shared" si="78"/>
        <v>0</v>
      </c>
      <c r="M108" s="6">
        <f t="shared" si="78"/>
        <v>0</v>
      </c>
      <c r="N108" s="6">
        <f t="shared" si="78"/>
        <v>0</v>
      </c>
      <c r="O108" s="6">
        <f t="shared" si="78"/>
        <v>0</v>
      </c>
      <c r="P108" s="6">
        <f t="shared" si="78"/>
        <v>0</v>
      </c>
      <c r="Q108" s="47"/>
      <c r="R108" s="47">
        <f t="shared" si="75"/>
        <v>0</v>
      </c>
    </row>
    <row r="109" spans="2:18" s="15" customFormat="1" ht="15">
      <c r="B109" s="40" t="s">
        <v>67</v>
      </c>
      <c r="D109" s="7"/>
      <c r="E109" s="6">
        <f aca="true" t="shared" si="79" ref="E109:P109">IF((1/E$13)*100&gt;1.15,($D$109*(E$10/E$13*100-1.15*E$10)),0)</f>
        <v>0</v>
      </c>
      <c r="F109" s="6">
        <f t="shared" si="79"/>
        <v>0</v>
      </c>
      <c r="G109" s="6">
        <f t="shared" si="79"/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47"/>
      <c r="R109" s="47">
        <f t="shared" si="75"/>
        <v>0</v>
      </c>
    </row>
    <row r="110" spans="2:18" s="15" customFormat="1" ht="15">
      <c r="B110" s="15" t="s">
        <v>87</v>
      </c>
      <c r="D110" s="8"/>
      <c r="E110" s="6">
        <f aca="true" t="shared" si="80" ref="E110:P110">$D$110*E$7</f>
        <v>0</v>
      </c>
      <c r="F110" s="6">
        <f t="shared" si="80"/>
        <v>0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</v>
      </c>
      <c r="K110" s="6">
        <f t="shared" si="80"/>
        <v>0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47"/>
      <c r="R110" s="47">
        <f t="shared" si="75"/>
        <v>0</v>
      </c>
    </row>
    <row r="111" spans="1:18" s="15" customFormat="1" ht="15">
      <c r="A111" s="40"/>
      <c r="B111" s="15" t="s">
        <v>64</v>
      </c>
      <c r="C111" s="55"/>
      <c r="D111" s="8"/>
      <c r="E111" s="6">
        <f aca="true" t="shared" si="81" ref="E111:P111">E$7*$D$111</f>
        <v>0</v>
      </c>
      <c r="F111" s="6">
        <f t="shared" si="81"/>
        <v>0</v>
      </c>
      <c r="G111" s="6">
        <f t="shared" si="81"/>
        <v>0</v>
      </c>
      <c r="H111" s="6">
        <f t="shared" si="81"/>
        <v>0</v>
      </c>
      <c r="I111" s="6">
        <f t="shared" si="81"/>
        <v>0</v>
      </c>
      <c r="J111" s="6">
        <f t="shared" si="81"/>
        <v>0</v>
      </c>
      <c r="K111" s="6">
        <f t="shared" si="81"/>
        <v>0</v>
      </c>
      <c r="L111" s="6">
        <f t="shared" si="81"/>
        <v>0</v>
      </c>
      <c r="M111" s="6">
        <f t="shared" si="81"/>
        <v>0</v>
      </c>
      <c r="N111" s="6">
        <f t="shared" si="81"/>
        <v>0</v>
      </c>
      <c r="O111" s="6">
        <f t="shared" si="81"/>
        <v>0</v>
      </c>
      <c r="P111" s="6">
        <f t="shared" si="81"/>
        <v>0</v>
      </c>
      <c r="Q111" s="47"/>
      <c r="R111" s="47">
        <f t="shared" si="75"/>
        <v>0</v>
      </c>
    </row>
    <row r="112" spans="1:19" s="15" customFormat="1" ht="15">
      <c r="A112" s="41"/>
      <c r="B112" s="15" t="s">
        <v>85</v>
      </c>
      <c r="C112" s="55"/>
      <c r="D112" s="8"/>
      <c r="E112" s="6">
        <f>$D112*E$7</f>
        <v>0</v>
      </c>
      <c r="F112" s="6">
        <f aca="true" t="shared" si="82" ref="F112:P112">$D112*F$7</f>
        <v>0</v>
      </c>
      <c r="G112" s="6">
        <f t="shared" si="82"/>
        <v>0</v>
      </c>
      <c r="H112" s="6">
        <f t="shared" si="82"/>
        <v>0</v>
      </c>
      <c r="I112" s="6">
        <f t="shared" si="82"/>
        <v>0</v>
      </c>
      <c r="J112" s="6">
        <f t="shared" si="82"/>
        <v>0</v>
      </c>
      <c r="K112" s="6">
        <f t="shared" si="82"/>
        <v>0</v>
      </c>
      <c r="L112" s="6">
        <f t="shared" si="82"/>
        <v>0</v>
      </c>
      <c r="M112" s="6">
        <f t="shared" si="82"/>
        <v>0</v>
      </c>
      <c r="N112" s="6">
        <f t="shared" si="82"/>
        <v>0</v>
      </c>
      <c r="O112" s="6">
        <f t="shared" si="82"/>
        <v>0</v>
      </c>
      <c r="P112" s="6">
        <f t="shared" si="82"/>
        <v>0</v>
      </c>
      <c r="Q112" s="47"/>
      <c r="R112" s="47">
        <f t="shared" si="75"/>
        <v>0</v>
      </c>
      <c r="S112" s="20"/>
    </row>
    <row r="113" spans="1:18" s="15" customFormat="1" ht="15">
      <c r="A113" s="40"/>
      <c r="B113" s="15" t="s">
        <v>60</v>
      </c>
      <c r="D113" s="50"/>
      <c r="E113" s="6">
        <f aca="true" t="shared" si="83" ref="E113:P113">E$7*$D$113</f>
        <v>0</v>
      </c>
      <c r="F113" s="6">
        <f t="shared" si="83"/>
        <v>0</v>
      </c>
      <c r="G113" s="6">
        <f t="shared" si="83"/>
        <v>0</v>
      </c>
      <c r="H113" s="6">
        <f t="shared" si="83"/>
        <v>0</v>
      </c>
      <c r="I113" s="6">
        <f t="shared" si="83"/>
        <v>0</v>
      </c>
      <c r="J113" s="6">
        <f t="shared" si="83"/>
        <v>0</v>
      </c>
      <c r="K113" s="6">
        <f t="shared" si="83"/>
        <v>0</v>
      </c>
      <c r="L113" s="6">
        <f t="shared" si="83"/>
        <v>0</v>
      </c>
      <c r="M113" s="6">
        <f t="shared" si="83"/>
        <v>0</v>
      </c>
      <c r="N113" s="6">
        <f t="shared" si="83"/>
        <v>0</v>
      </c>
      <c r="O113" s="6">
        <f t="shared" si="83"/>
        <v>0</v>
      </c>
      <c r="P113" s="6">
        <f t="shared" si="83"/>
        <v>0</v>
      </c>
      <c r="Q113" s="47"/>
      <c r="R113" s="47">
        <f t="shared" si="75"/>
        <v>0</v>
      </c>
    </row>
    <row r="114" spans="1:18" s="15" customFormat="1" ht="15">
      <c r="A114" s="40"/>
      <c r="B114" s="15" t="s">
        <v>61</v>
      </c>
      <c r="D114" s="8"/>
      <c r="E114" s="6">
        <f>$D$114</f>
        <v>0</v>
      </c>
      <c r="F114" s="6">
        <f aca="true" t="shared" si="84" ref="F114:P114">$D$114</f>
        <v>0</v>
      </c>
      <c r="G114" s="6">
        <f t="shared" si="84"/>
        <v>0</v>
      </c>
      <c r="H114" s="6">
        <f t="shared" si="84"/>
        <v>0</v>
      </c>
      <c r="I114" s="6">
        <f t="shared" si="84"/>
        <v>0</v>
      </c>
      <c r="J114" s="6">
        <f t="shared" si="84"/>
        <v>0</v>
      </c>
      <c r="K114" s="6">
        <f t="shared" si="84"/>
        <v>0</v>
      </c>
      <c r="L114" s="6">
        <f t="shared" si="84"/>
        <v>0</v>
      </c>
      <c r="M114" s="6">
        <f t="shared" si="84"/>
        <v>0</v>
      </c>
      <c r="N114" s="6">
        <f t="shared" si="84"/>
        <v>0</v>
      </c>
      <c r="O114" s="6">
        <f t="shared" si="84"/>
        <v>0</v>
      </c>
      <c r="P114" s="6">
        <f t="shared" si="84"/>
        <v>0</v>
      </c>
      <c r="Q114" s="47"/>
      <c r="R114" s="47">
        <f t="shared" si="75"/>
        <v>0</v>
      </c>
    </row>
    <row r="115" spans="1:18" s="15" customFormat="1" ht="15">
      <c r="A115" s="40"/>
      <c r="B115" s="15" t="s">
        <v>83</v>
      </c>
      <c r="D115" s="8"/>
      <c r="E115" s="6">
        <f aca="true" t="shared" si="85" ref="E115:P115">$D$115*E$7</f>
        <v>0</v>
      </c>
      <c r="F115" s="6">
        <f t="shared" si="85"/>
        <v>0</v>
      </c>
      <c r="G115" s="6">
        <f t="shared" si="85"/>
        <v>0</v>
      </c>
      <c r="H115" s="6">
        <f t="shared" si="85"/>
        <v>0</v>
      </c>
      <c r="I115" s="6">
        <f t="shared" si="85"/>
        <v>0</v>
      </c>
      <c r="J115" s="6">
        <f t="shared" si="85"/>
        <v>0</v>
      </c>
      <c r="K115" s="6">
        <f t="shared" si="85"/>
        <v>0</v>
      </c>
      <c r="L115" s="6">
        <f t="shared" si="85"/>
        <v>0</v>
      </c>
      <c r="M115" s="6">
        <f t="shared" si="85"/>
        <v>0</v>
      </c>
      <c r="N115" s="6">
        <f t="shared" si="85"/>
        <v>0</v>
      </c>
      <c r="O115" s="6">
        <f t="shared" si="85"/>
        <v>0</v>
      </c>
      <c r="P115" s="6">
        <f t="shared" si="85"/>
        <v>0</v>
      </c>
      <c r="Q115" s="47"/>
      <c r="R115" s="47">
        <f t="shared" si="75"/>
        <v>0</v>
      </c>
    </row>
    <row r="116" spans="1:18" s="15" customFormat="1" ht="15">
      <c r="A116" s="40"/>
      <c r="B116" s="15" t="s">
        <v>84</v>
      </c>
      <c r="D116" s="8"/>
      <c r="E116" s="6">
        <f aca="true" t="shared" si="86" ref="E116:P116">$D$116*E$10</f>
        <v>0</v>
      </c>
      <c r="F116" s="6">
        <f t="shared" si="86"/>
        <v>0</v>
      </c>
      <c r="G116" s="6">
        <f t="shared" si="86"/>
        <v>0</v>
      </c>
      <c r="H116" s="6">
        <f t="shared" si="86"/>
        <v>0</v>
      </c>
      <c r="I116" s="6">
        <f t="shared" si="86"/>
        <v>0</v>
      </c>
      <c r="J116" s="6">
        <f t="shared" si="86"/>
        <v>0</v>
      </c>
      <c r="K116" s="6">
        <f t="shared" si="86"/>
        <v>0</v>
      </c>
      <c r="L116" s="6">
        <f t="shared" si="86"/>
        <v>0</v>
      </c>
      <c r="M116" s="6">
        <f t="shared" si="86"/>
        <v>0</v>
      </c>
      <c r="N116" s="6">
        <f t="shared" si="86"/>
        <v>0</v>
      </c>
      <c r="O116" s="6">
        <f t="shared" si="86"/>
        <v>0</v>
      </c>
      <c r="P116" s="6">
        <f t="shared" si="86"/>
        <v>0</v>
      </c>
      <c r="Q116" s="47"/>
      <c r="R116" s="47">
        <f t="shared" si="75"/>
        <v>0</v>
      </c>
    </row>
    <row r="117" spans="1:18" s="15" customFormat="1" ht="15">
      <c r="A117" s="40"/>
      <c r="B117" s="15" t="s">
        <v>62</v>
      </c>
      <c r="D117" s="51"/>
      <c r="E117" s="6">
        <f aca="true" t="shared" si="87" ref="E117:P117">$D117*(SUM(E105:E116)-($C$111+$D$111)*E$7)</f>
        <v>0</v>
      </c>
      <c r="F117" s="6">
        <f t="shared" si="87"/>
        <v>0</v>
      </c>
      <c r="G117" s="6">
        <f t="shared" si="87"/>
        <v>0</v>
      </c>
      <c r="H117" s="6">
        <f t="shared" si="87"/>
        <v>0</v>
      </c>
      <c r="I117" s="6">
        <f t="shared" si="87"/>
        <v>0</v>
      </c>
      <c r="J117" s="6">
        <f t="shared" si="87"/>
        <v>0</v>
      </c>
      <c r="K117" s="6">
        <f t="shared" si="87"/>
        <v>0</v>
      </c>
      <c r="L117" s="6">
        <f t="shared" si="87"/>
        <v>0</v>
      </c>
      <c r="M117" s="6">
        <f t="shared" si="87"/>
        <v>0</v>
      </c>
      <c r="N117" s="6">
        <f t="shared" si="87"/>
        <v>0</v>
      </c>
      <c r="O117" s="6">
        <f t="shared" si="87"/>
        <v>0</v>
      </c>
      <c r="P117" s="6">
        <f t="shared" si="87"/>
        <v>0</v>
      </c>
      <c r="Q117" s="47"/>
      <c r="R117" s="47">
        <f t="shared" si="75"/>
        <v>0</v>
      </c>
    </row>
    <row r="118" spans="1:19" s="15" customFormat="1" ht="15.75" thickBot="1">
      <c r="A118" s="41"/>
      <c r="B118" s="15" t="s">
        <v>63</v>
      </c>
      <c r="D118" s="51"/>
      <c r="E118" s="6">
        <f aca="true" t="shared" si="88" ref="E118:P118">$D118*(SUM(E105:E116)-($C$111+$D$111)*E$7)</f>
        <v>0</v>
      </c>
      <c r="F118" s="6">
        <f t="shared" si="88"/>
        <v>0</v>
      </c>
      <c r="G118" s="6">
        <f t="shared" si="88"/>
        <v>0</v>
      </c>
      <c r="H118" s="6">
        <f t="shared" si="88"/>
        <v>0</v>
      </c>
      <c r="I118" s="6">
        <f t="shared" si="88"/>
        <v>0</v>
      </c>
      <c r="J118" s="6">
        <f t="shared" si="88"/>
        <v>0</v>
      </c>
      <c r="K118" s="6">
        <f t="shared" si="88"/>
        <v>0</v>
      </c>
      <c r="L118" s="6">
        <f t="shared" si="88"/>
        <v>0</v>
      </c>
      <c r="M118" s="6">
        <f t="shared" si="88"/>
        <v>0</v>
      </c>
      <c r="N118" s="6">
        <f t="shared" si="88"/>
        <v>0</v>
      </c>
      <c r="O118" s="6">
        <f t="shared" si="88"/>
        <v>0</v>
      </c>
      <c r="P118" s="6">
        <f t="shared" si="88"/>
        <v>0</v>
      </c>
      <c r="R118" s="47">
        <f t="shared" si="75"/>
        <v>0</v>
      </c>
      <c r="S118" s="20"/>
    </row>
    <row r="119" spans="1:18" s="15" customFormat="1" ht="15.75" thickBot="1">
      <c r="A119" s="40"/>
      <c r="D119" s="9" t="s">
        <v>24</v>
      </c>
      <c r="E119" s="52">
        <f aca="true" t="shared" si="89" ref="E119:P119">SUM(E105:E118)</f>
        <v>85</v>
      </c>
      <c r="F119" s="52">
        <f t="shared" si="89"/>
        <v>85</v>
      </c>
      <c r="G119" s="52">
        <f t="shared" si="89"/>
        <v>85</v>
      </c>
      <c r="H119" s="52">
        <f t="shared" si="89"/>
        <v>85</v>
      </c>
      <c r="I119" s="52">
        <f t="shared" si="89"/>
        <v>85</v>
      </c>
      <c r="J119" s="52">
        <f t="shared" si="89"/>
        <v>85</v>
      </c>
      <c r="K119" s="52">
        <f t="shared" si="89"/>
        <v>85</v>
      </c>
      <c r="L119" s="52">
        <f t="shared" si="89"/>
        <v>85</v>
      </c>
      <c r="M119" s="52">
        <f t="shared" si="89"/>
        <v>85</v>
      </c>
      <c r="N119" s="52">
        <f t="shared" si="89"/>
        <v>85</v>
      </c>
      <c r="O119" s="52">
        <f t="shared" si="89"/>
        <v>85</v>
      </c>
      <c r="P119" s="52">
        <f t="shared" si="89"/>
        <v>85</v>
      </c>
      <c r="Q119" s="53"/>
      <c r="R119" s="54">
        <f>SUM(E119:P119)</f>
        <v>1020</v>
      </c>
    </row>
  </sheetData>
  <sheetProtection/>
  <mergeCells count="6">
    <mergeCell ref="B14:D14"/>
    <mergeCell ref="A14:A17"/>
    <mergeCell ref="B17:D17"/>
    <mergeCell ref="A1:D1"/>
    <mergeCell ref="A2:D2"/>
    <mergeCell ref="K1:L1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B73">
      <selection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33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35">
        <v>113640</v>
      </c>
      <c r="F7" s="35">
        <v>124920</v>
      </c>
      <c r="G7" s="35">
        <v>127920</v>
      </c>
      <c r="H7" s="35">
        <v>83520</v>
      </c>
      <c r="I7" s="35">
        <v>63600</v>
      </c>
      <c r="J7" s="35">
        <v>70680</v>
      </c>
      <c r="K7" s="35">
        <v>74880</v>
      </c>
      <c r="L7" s="35">
        <v>67800</v>
      </c>
      <c r="M7" s="35">
        <v>76800</v>
      </c>
      <c r="N7" s="35">
        <v>64440</v>
      </c>
      <c r="O7" s="35">
        <v>84120</v>
      </c>
      <c r="P7" s="35">
        <v>108120</v>
      </c>
      <c r="R7" s="4">
        <f>SUM(E7:P7)</f>
        <v>1060440</v>
      </c>
      <c r="S7" s="15">
        <f>R7/(8760*MAX(E10:P10))</f>
        <v>0.2959774927152761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"/>
      <c r="W9" s="15" t="s">
        <v>45</v>
      </c>
      <c r="X9" s="20"/>
    </row>
    <row r="10" spans="2:24" ht="15">
      <c r="B10" s="34">
        <f>MAX(E10:P10)</f>
        <v>409</v>
      </c>
      <c r="C10" s="34"/>
      <c r="D10" s="10" t="s">
        <v>5</v>
      </c>
      <c r="E10" s="35">
        <v>254</v>
      </c>
      <c r="F10" s="35">
        <v>272</v>
      </c>
      <c r="G10" s="35">
        <v>321</v>
      </c>
      <c r="H10" s="35">
        <v>323</v>
      </c>
      <c r="I10" s="35">
        <v>351</v>
      </c>
      <c r="J10" s="35">
        <v>409</v>
      </c>
      <c r="K10" s="35">
        <v>409</v>
      </c>
      <c r="L10" s="35">
        <v>341</v>
      </c>
      <c r="M10" s="35">
        <v>351</v>
      </c>
      <c r="N10" s="35">
        <v>325</v>
      </c>
      <c r="O10" s="35">
        <v>325</v>
      </c>
      <c r="P10" s="35">
        <v>325</v>
      </c>
      <c r="R10" s="4">
        <f>SUM(E10:P10)</f>
        <v>4006</v>
      </c>
      <c r="W10" s="15" t="s">
        <v>46</v>
      </c>
      <c r="X10" s="20"/>
    </row>
    <row r="11" spans="2:24" ht="15">
      <c r="B11" s="34">
        <f>MAX(E11:P11)</f>
        <v>409</v>
      </c>
      <c r="C11" s="34"/>
      <c r="D11" s="10" t="s">
        <v>6</v>
      </c>
      <c r="E11" s="35">
        <v>254</v>
      </c>
      <c r="F11" s="35">
        <v>272</v>
      </c>
      <c r="G11" s="35">
        <v>321</v>
      </c>
      <c r="H11" s="35">
        <v>323</v>
      </c>
      <c r="I11" s="35">
        <v>351</v>
      </c>
      <c r="J11" s="35">
        <v>409</v>
      </c>
      <c r="K11" s="35">
        <v>409</v>
      </c>
      <c r="L11" s="35">
        <v>341</v>
      </c>
      <c r="M11" s="35">
        <v>351</v>
      </c>
      <c r="N11" s="35">
        <v>325</v>
      </c>
      <c r="O11" s="35">
        <v>325</v>
      </c>
      <c r="P11" s="35">
        <v>325</v>
      </c>
      <c r="R11" s="4">
        <f>SUM(E11:P11)</f>
        <v>4006</v>
      </c>
      <c r="W11" s="15" t="s">
        <v>47</v>
      </c>
      <c r="X11" s="20"/>
    </row>
    <row r="12" spans="2:24" ht="15">
      <c r="B12" s="34">
        <f>MAX(E12:P12)</f>
        <v>409</v>
      </c>
      <c r="C12" s="34"/>
      <c r="D12" s="10" t="s">
        <v>7</v>
      </c>
      <c r="E12" s="35">
        <v>254</v>
      </c>
      <c r="F12" s="35">
        <v>272</v>
      </c>
      <c r="G12" s="35">
        <v>321</v>
      </c>
      <c r="H12" s="35">
        <v>323</v>
      </c>
      <c r="I12" s="35">
        <v>351</v>
      </c>
      <c r="J12" s="35">
        <v>409</v>
      </c>
      <c r="K12" s="35">
        <v>409</v>
      </c>
      <c r="L12" s="35">
        <v>341</v>
      </c>
      <c r="M12" s="35">
        <v>351</v>
      </c>
      <c r="N12" s="35">
        <v>325</v>
      </c>
      <c r="O12" s="35">
        <v>325</v>
      </c>
      <c r="P12" s="35">
        <v>325</v>
      </c>
      <c r="R12" s="4">
        <f>SUM(E12:P12)</f>
        <v>4006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School Current</v>
      </c>
      <c r="D15" s="45" t="s">
        <v>44</v>
      </c>
      <c r="E15" s="25">
        <f>IF($D$15="Rate 1",E32,IF($D$15="Rate 2",E46,IF($D$15="Rate 3",#REF!,IF($D$15="Rate 4",#REF!,IF($D$15="Rate 5",E67,IF($D$15="Rate 6",E84,IF($D$15="Rate 7",#REF!,IF($D$15="Rate 8",#REF!))))))))</f>
        <v>11451.644926148</v>
      </c>
      <c r="F15" s="25">
        <f>IF($D$15="Rate 1",F32,IF($D$15="Rate 2",F46,IF($D$15="Rate 3",#REF!,IF($D$15="Rate 4",#REF!,IF($D$15="Rate 5",F67,IF($D$15="Rate 6",F84,IF($D$15="Rate 7",#REF!,IF($D$15="Rate 8",#REF!))))))))</f>
        <v>12545.357677244001</v>
      </c>
      <c r="G15" s="25">
        <f>IF($D$15="Rate 1",G32,IF($D$15="Rate 2",G46,IF($D$15="Rate 3",#REF!,IF($D$15="Rate 4",#REF!,IF($D$15="Rate 5",G67,IF($D$15="Rate 6",G84,IF($D$15="Rate 7",#REF!,IF($D$15="Rate 8",#REF!))))))))</f>
        <v>13040.358855344</v>
      </c>
      <c r="H15" s="25">
        <f>IF($D$15="Rate 1",H32,IF($D$15="Rate 2",H46,IF($D$15="Rate 3",#REF!,IF($D$15="Rate 4",#REF!,IF($D$15="Rate 5",H67,IF($D$15="Rate 6",H84,IF($D$15="Rate 7",#REF!,IF($D$15="Rate 8",#REF!))))))))</f>
        <v>9071.655836263999</v>
      </c>
      <c r="I15" s="25">
        <f>IF($D$15="Rate 1",I32,IF($D$15="Rate 2",I46,IF($D$15="Rate 3",#REF!,IF($D$15="Rate 4",#REF!,IF($D$15="Rate 5",I67,IF($D$15="Rate 6",I84,IF($D$15="Rate 7",#REF!,IF($D$15="Rate 8",#REF!))))))))</f>
        <v>7416.22950752</v>
      </c>
      <c r="J15" s="25">
        <f>IF($D$15="Rate 1",J32,IF($D$15="Rate 2",J46,IF($D$15="Rate 3",#REF!,IF($D$15="Rate 4",#REF!,IF($D$15="Rate 5",J67,IF($D$15="Rate 6",J84,IF($D$15="Rate 7",#REF!,IF($D$15="Rate 8",#REF!))))))))</f>
        <v>8318.321722675999</v>
      </c>
      <c r="K15" s="25">
        <f>IF($D$15="Rate 1",K32,IF($D$15="Rate 2",K46,IF($D$15="Rate 3",#REF!,IF($D$15="Rate 4",#REF!,IF($D$15="Rate 5",K67,IF($D$15="Rate 6",K84,IF($D$15="Rate 7",#REF!,IF($D$15="Rate 8",#REF!))))))))</f>
        <v>8694.613018616</v>
      </c>
      <c r="L15" s="25">
        <f>IF($D$15="Rate 1",L32,IF($D$15="Rate 2",L46,IF($D$15="Rate 3",#REF!,IF($D$15="Rate 4",#REF!,IF($D$15="Rate 5",L67,IF($D$15="Rate 6",L84,IF($D$15="Rate 7",#REF!,IF($D$15="Rate 8",#REF!))))))))</f>
        <v>7746.35311346</v>
      </c>
      <c r="M15" s="25">
        <f>IF($D$15="Rate 1",M32,IF($D$15="Rate 2",M46,IF($D$15="Rate 3",#REF!,IF($D$15="Rate 4",#REF!,IF($D$15="Rate 5",M67,IF($D$15="Rate 6",M84,IF($D$15="Rate 7",#REF!,IF($D$15="Rate 8",#REF!))))))))</f>
        <v>8598.859294760001</v>
      </c>
      <c r="N15" s="25">
        <f>IF($D$15="Rate 1",N32,IF($D$15="Rate 2",N46,IF($D$15="Rate 3",#REF!,IF($D$15="Rate 4",#REF!,IF($D$15="Rate 5",N67,IF($D$15="Rate 6",N84,IF($D$15="Rate 7",#REF!,IF($D$15="Rate 8",#REF!))))))))</f>
        <v>7371.451772708</v>
      </c>
      <c r="O15" s="25">
        <f>IF($D$15="Rate 1",O32,IF($D$15="Rate 2",O46,IF($D$15="Rate 3",#REF!,IF($D$15="Rate 4",#REF!,IF($D$15="Rate 5",O67,IF($D$15="Rate 6",O84,IF($D$15="Rate 7",#REF!,IF($D$15="Rate 8",#REF!))))))))</f>
        <v>9134.645273684</v>
      </c>
      <c r="P15" s="25">
        <f>IF($D$15="Rate 1",P32,IF($D$15="Rate 2",P46,IF($D$15="Rate 3",#REF!,IF($D$15="Rate 4",#REF!,IF($D$15="Rate 5",P67,IF($D$15="Rate 6",P84,IF($D$15="Rate 7",#REF!,IF($D$15="Rate 8",#REF!))))))))</f>
        <v>11284.881250483999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114674.372248908</v>
      </c>
      <c r="X15" s="20"/>
    </row>
    <row r="16" spans="1:24" ht="15" customHeight="1" thickBot="1">
      <c r="A16" s="85"/>
      <c r="B16" s="24" t="s">
        <v>28</v>
      </c>
      <c r="C16" s="44" t="str">
        <f>IF($D$16="Rate 1",B21,IF($D$16="Rate 2",B34,IF($D$16="Rate 3",B49,IF($D$16="Rate 4",#REF!,IF($D$16="Rate 5",B54,IF($D$16="Rate 6",B70,IF($D$16="Rate 7",#REF!,IF($D$16="Rate 8",#REF!))))))))</f>
        <v>L.G.S. School Proposed</v>
      </c>
      <c r="D16" s="45" t="s">
        <v>45</v>
      </c>
      <c r="E16" s="26">
        <f>IF($D$16="Rate 1",E32,IF($D$16="Rate 2",E46,IF($D$16="Rate 3",#REF!,IF($D$16="Rate 4",#REF!,IF($D$16="Rate 5",E67,IF($D$16="Rate 6",E84,IF($D$16="Rate 7",#REF!,IF($D$16="Rate 8",#REF!))))))))</f>
        <v>10731.995299587681</v>
      </c>
      <c r="F16" s="26">
        <f>IF($D$16="Rate 1",F32,IF($D$16="Rate 2",F46,IF($D$16="Rate 3",#REF!,IF($D$16="Rate 4",#REF!,IF($D$16="Rate 5",F67,IF($D$16="Rate 6",F84,IF($D$16="Rate 7",#REF!,IF($D$16="Rate 8",#REF!))))))))</f>
        <v>11753.411620891042</v>
      </c>
      <c r="G16" s="26">
        <f>IF($D$16="Rate 1",G32,IF($D$16="Rate 2",G46,IF($D$16="Rate 3",#REF!,IF($D$16="Rate 4",#REF!,IF($D$16="Rate 5",G67,IF($D$16="Rate 6",G84,IF($D$16="Rate 7",#REF!,IF($D$16="Rate 8",#REF!))))))))</f>
        <v>12233.757908695045</v>
      </c>
      <c r="H16" s="26">
        <f>IF($D$16="Rate 1",H32,IF($D$16="Rate 2",H46,IF($D$16="Rate 3",#REF!,IF($D$16="Rate 4",#REF!,IF($D$16="Rate 5",H67,IF($D$16="Rate 6",H84,IF($D$16="Rate 7",#REF!,IF($D$16="Rate 8",#REF!))))))))</f>
        <v>8557.16085806624</v>
      </c>
      <c r="I16" s="26">
        <f>IF($D$16="Rate 1",I32,IF($D$16="Rate 2",I46,IF($D$16="Rate 3",#REF!,IF($D$16="Rate 4",#REF!,IF($D$16="Rate 5",I67,IF($D$16="Rate 6",I84,IF($D$16="Rate 7",#REF!,IF($D$16="Rate 8",#REF!))))))))</f>
        <v>7035.590683635199</v>
      </c>
      <c r="J16" s="26">
        <f>IF($D$16="Rate 1",J32,IF($D$16="Rate 2",J46,IF($D$16="Rate 3",#REF!,IF($D$16="Rate 4",#REF!,IF($D$16="Rate 5",J67,IF($D$16="Rate 6",J84,IF($D$16="Rate 7",#REF!,IF($D$16="Rate 8",#REF!))))))))</f>
        <v>7897.13570828816</v>
      </c>
      <c r="K16" s="26">
        <f>IF($D$16="Rate 1",K32,IF($D$16="Rate 2",K46,IF($D$16="Rate 3",#REF!,IF($D$16="Rate 4",#REF!,IF($D$16="Rate 5",K67,IF($D$16="Rate 6",K84,IF($D$16="Rate 7",#REF!,IF($D$16="Rate 8",#REF!))))))))</f>
        <v>8245.814926218562</v>
      </c>
      <c r="L16" s="26">
        <f>IF($D$16="Rate 1",L32,IF($D$16="Rate 2",L46,IF($D$16="Rate 3",#REF!,IF($D$16="Rate 4",#REF!,IF($D$16="Rate 5",L67,IF($D$16="Rate 6",L84,IF($D$16="Rate 7",#REF!,IF($D$16="Rate 8",#REF!))))))))</f>
        <v>7337.067921245602</v>
      </c>
      <c r="M16" s="26">
        <f>IF($D$16="Rate 1",M32,IF($D$16="Rate 2",M46,IF($D$16="Rate 3",#REF!,IF($D$16="Rate 4",#REF!,IF($D$16="Rate 5",M67,IF($D$16="Rate 6",M84,IF($D$16="Rate 7",#REF!,IF($D$16="Rate 8",#REF!))))))))</f>
        <v>8131.4396542736</v>
      </c>
      <c r="N16" s="26">
        <f>IF($D$16="Rate 1",N32,IF($D$16="Rate 2",N46,IF($D$16="Rate 3",#REF!,IF($D$16="Rate 4",#REF!,IF($D$16="Rate 5",N67,IF($D$16="Rate 6",N84,IF($D$16="Rate 7",#REF!,IF($D$16="Rate 8",#REF!))))))))</f>
        <v>6982.601378389282</v>
      </c>
      <c r="O16" s="26">
        <f>IF($D$16="Rate 1",O32,IF($D$16="Rate 2",O46,IF($D$16="Rate 3",#REF!,IF($D$16="Rate 4",#REF!,IF($D$16="Rate 5",O67,IF($D$16="Rate 6",O84,IF($D$16="Rate 7",#REF!,IF($D$16="Rate 8",#REF!))))))))</f>
        <v>8616.412570977438</v>
      </c>
      <c r="P16" s="26">
        <f>IF($D$16="Rate 1",P32,IF($D$16="Rate 2",P46,IF($D$16="Rate 3",#REF!,IF($D$16="Rate 4",#REF!,IF($D$16="Rate 5",P67,IF($D$16="Rate 6",P84,IF($D$16="Rate 7",#REF!,IF($D$16="Rate 8",#REF!))))))))</f>
        <v>10608.86524486544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108131.25377513331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719.6496265603182</v>
      </c>
      <c r="F17" s="28">
        <f aca="true" t="shared" si="0" ref="F17:R17">F15-F16</f>
        <v>791.9460563529592</v>
      </c>
      <c r="G17" s="28">
        <f t="shared" si="0"/>
        <v>806.6009466489559</v>
      </c>
      <c r="H17" s="28">
        <f t="shared" si="0"/>
        <v>514.4949781977593</v>
      </c>
      <c r="I17" s="28">
        <f t="shared" si="0"/>
        <v>380.63882388480124</v>
      </c>
      <c r="J17" s="28">
        <f t="shared" si="0"/>
        <v>421.18601438783935</v>
      </c>
      <c r="K17" s="28">
        <f t="shared" si="0"/>
        <v>448.7980923974392</v>
      </c>
      <c r="L17" s="28">
        <f t="shared" si="0"/>
        <v>409.2851922143982</v>
      </c>
      <c r="M17" s="28">
        <f t="shared" si="0"/>
        <v>467.41964048640057</v>
      </c>
      <c r="N17" s="28">
        <f t="shared" si="0"/>
        <v>388.8503943187179</v>
      </c>
      <c r="O17" s="28">
        <f t="shared" si="0"/>
        <v>518.2327027065621</v>
      </c>
      <c r="P17" s="29">
        <f t="shared" si="0"/>
        <v>676.0160056185596</v>
      </c>
      <c r="Q17" s="16"/>
      <c r="R17" s="28">
        <f t="shared" si="0"/>
        <v>6543.118473774681</v>
      </c>
      <c r="X17" s="20"/>
    </row>
    <row r="18" spans="2:24" ht="15" customHeight="1" thickBot="1">
      <c r="B18" s="13"/>
      <c r="C18" s="13"/>
      <c r="R18" s="64">
        <f>R17/R15</f>
        <v>0.057058245407896606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8858.238000000001</v>
      </c>
      <c r="F56" s="6">
        <f t="shared" si="32"/>
        <v>9737.514000000001</v>
      </c>
      <c r="G56" s="6">
        <f t="shared" si="32"/>
        <v>9971.364000000001</v>
      </c>
      <c r="H56" s="6">
        <f t="shared" si="32"/>
        <v>6510.384</v>
      </c>
      <c r="I56" s="6">
        <f t="shared" si="32"/>
        <v>4957.62</v>
      </c>
      <c r="J56" s="6">
        <f t="shared" si="32"/>
        <v>5509.506</v>
      </c>
      <c r="K56" s="6">
        <f t="shared" si="32"/>
        <v>5836.896000000001</v>
      </c>
      <c r="L56" s="6">
        <f t="shared" si="32"/>
        <v>5285.01</v>
      </c>
      <c r="M56" s="6">
        <f t="shared" si="32"/>
        <v>5986.56</v>
      </c>
      <c r="N56" s="6">
        <f t="shared" si="32"/>
        <v>5023.098</v>
      </c>
      <c r="O56" s="6">
        <f t="shared" si="32"/>
        <v>6557.154</v>
      </c>
      <c r="P56" s="6">
        <f t="shared" si="32"/>
        <v>8427.954</v>
      </c>
      <c r="Q56" s="47"/>
      <c r="R56" s="47">
        <f t="shared" si="31"/>
        <v>82661.298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1021.0799999999999</v>
      </c>
      <c r="F57" s="6">
        <f t="shared" si="33"/>
        <v>1093.4399999999998</v>
      </c>
      <c r="G57" s="6">
        <f t="shared" si="33"/>
        <v>1290.4199999999998</v>
      </c>
      <c r="H57" s="6">
        <f t="shared" si="33"/>
        <v>1298.4599999999998</v>
      </c>
      <c r="I57" s="6">
        <f t="shared" si="33"/>
        <v>1411.0199999999998</v>
      </c>
      <c r="J57" s="6">
        <f t="shared" si="33"/>
        <v>1644.1799999999998</v>
      </c>
      <c r="K57" s="6">
        <f t="shared" si="33"/>
        <v>1644.1799999999998</v>
      </c>
      <c r="L57" s="6">
        <f t="shared" si="33"/>
        <v>1370.82</v>
      </c>
      <c r="M57" s="6">
        <f t="shared" si="33"/>
        <v>1411.0199999999998</v>
      </c>
      <c r="N57" s="6">
        <f t="shared" si="33"/>
        <v>1306.4999999999998</v>
      </c>
      <c r="O57" s="6">
        <f t="shared" si="33"/>
        <v>1306.4999999999998</v>
      </c>
      <c r="P57" s="6">
        <f t="shared" si="33"/>
        <v>1306.4999999999998</v>
      </c>
      <c r="Q57" s="47"/>
      <c r="R57" s="47">
        <f t="shared" si="31"/>
        <v>16104.119999999999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112.04903999999999</v>
      </c>
      <c r="F59" s="6">
        <f t="shared" si="35"/>
        <v>123.17111999999999</v>
      </c>
      <c r="G59" s="6">
        <f t="shared" si="35"/>
        <v>126.12911999999999</v>
      </c>
      <c r="H59" s="6">
        <f t="shared" si="35"/>
        <v>82.35072</v>
      </c>
      <c r="I59" s="6">
        <f t="shared" si="35"/>
        <v>62.709599999999995</v>
      </c>
      <c r="J59" s="6">
        <f t="shared" si="35"/>
        <v>69.69048</v>
      </c>
      <c r="K59" s="6">
        <f t="shared" si="35"/>
        <v>73.83167999999999</v>
      </c>
      <c r="L59" s="6">
        <f t="shared" si="35"/>
        <v>66.85079999999999</v>
      </c>
      <c r="M59" s="6">
        <f t="shared" si="35"/>
        <v>75.72479999999999</v>
      </c>
      <c r="N59" s="6">
        <f t="shared" si="35"/>
        <v>63.537839999999996</v>
      </c>
      <c r="O59" s="6">
        <f t="shared" si="35"/>
        <v>82.94232</v>
      </c>
      <c r="P59" s="6">
        <f t="shared" si="35"/>
        <v>106.60631999999998</v>
      </c>
      <c r="Q59" s="47"/>
      <c r="R59" s="47">
        <f t="shared" si="31"/>
        <v>1045.5938399999998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231.95060400000003</v>
      </c>
      <c r="F60" s="6">
        <f t="shared" si="36"/>
        <v>254.97421200000002</v>
      </c>
      <c r="G60" s="6">
        <f t="shared" si="36"/>
        <v>261.097512</v>
      </c>
      <c r="H60" s="6">
        <f t="shared" si="36"/>
        <v>170.47267200000002</v>
      </c>
      <c r="I60" s="6">
        <f t="shared" si="36"/>
        <v>129.81396</v>
      </c>
      <c r="J60" s="6">
        <f t="shared" si="36"/>
        <v>144.264948</v>
      </c>
      <c r="K60" s="6">
        <f t="shared" si="36"/>
        <v>152.837568</v>
      </c>
      <c r="L60" s="6">
        <f t="shared" si="36"/>
        <v>138.38658</v>
      </c>
      <c r="M60" s="6">
        <f t="shared" si="36"/>
        <v>156.75648</v>
      </c>
      <c r="N60" s="6">
        <f t="shared" si="36"/>
        <v>131.52848400000002</v>
      </c>
      <c r="O60" s="6">
        <f t="shared" si="36"/>
        <v>171.69733200000002</v>
      </c>
      <c r="P60" s="6">
        <f t="shared" si="36"/>
        <v>220.68373200000002</v>
      </c>
      <c r="Q60" s="47"/>
      <c r="R60" s="47">
        <f t="shared" si="31"/>
        <v>2164.464084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110.2308</v>
      </c>
      <c r="F61" s="6">
        <f aca="true" t="shared" si="37" ref="F61:P61">$D61*F$7</f>
        <v>121.17240000000001</v>
      </c>
      <c r="G61" s="6">
        <f t="shared" si="37"/>
        <v>124.0824</v>
      </c>
      <c r="H61" s="6">
        <f t="shared" si="37"/>
        <v>81.01440000000001</v>
      </c>
      <c r="I61" s="6">
        <f t="shared" si="37"/>
        <v>61.692</v>
      </c>
      <c r="J61" s="6">
        <f t="shared" si="37"/>
        <v>68.5596</v>
      </c>
      <c r="K61" s="6">
        <f t="shared" si="37"/>
        <v>72.6336</v>
      </c>
      <c r="L61" s="6">
        <f t="shared" si="37"/>
        <v>65.766</v>
      </c>
      <c r="M61" s="6">
        <f t="shared" si="37"/>
        <v>74.49600000000001</v>
      </c>
      <c r="N61" s="6">
        <f t="shared" si="37"/>
        <v>62.506800000000005</v>
      </c>
      <c r="O61" s="6">
        <f t="shared" si="37"/>
        <v>81.5964</v>
      </c>
      <c r="P61" s="6">
        <f t="shared" si="37"/>
        <v>104.8764</v>
      </c>
      <c r="Q61" s="47"/>
      <c r="R61" s="47">
        <f t="shared" si="31"/>
        <v>1028.6268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1033.096482148</v>
      </c>
      <c r="F62" s="6">
        <f aca="true" t="shared" si="38" ref="F62:P62">(SUM(F55:F61)-($D60+$C60)*F$7)*$D62</f>
        <v>1130.0859452440002</v>
      </c>
      <c r="G62" s="6">
        <f t="shared" si="38"/>
        <v>1182.265823344</v>
      </c>
      <c r="H62" s="6">
        <f t="shared" si="38"/>
        <v>843.9740442639998</v>
      </c>
      <c r="I62" s="6">
        <f t="shared" si="38"/>
        <v>708.37394752</v>
      </c>
      <c r="J62" s="6">
        <f t="shared" si="38"/>
        <v>797.120694676</v>
      </c>
      <c r="K62" s="6">
        <f t="shared" si="38"/>
        <v>829.2341706160001</v>
      </c>
      <c r="L62" s="6">
        <f t="shared" si="38"/>
        <v>734.5197334599999</v>
      </c>
      <c r="M62" s="6">
        <f t="shared" si="38"/>
        <v>809.30201476</v>
      </c>
      <c r="N62" s="6">
        <f t="shared" si="38"/>
        <v>699.2806487080001</v>
      </c>
      <c r="O62" s="6">
        <f t="shared" si="38"/>
        <v>849.7552216840002</v>
      </c>
      <c r="P62" s="6">
        <f t="shared" si="38"/>
        <v>1033.260798484</v>
      </c>
      <c r="Q62" s="47"/>
      <c r="R62" s="47">
        <f t="shared" si="31"/>
        <v>10650.269524907999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11451.644926148</v>
      </c>
      <c r="F67" s="52">
        <f aca="true" t="shared" si="43" ref="F67:P67">SUM(F55:F66)</f>
        <v>12545.357677244001</v>
      </c>
      <c r="G67" s="52">
        <f t="shared" si="43"/>
        <v>13040.358855344</v>
      </c>
      <c r="H67" s="52">
        <f t="shared" si="43"/>
        <v>9071.655836263999</v>
      </c>
      <c r="I67" s="52">
        <f t="shared" si="43"/>
        <v>7416.22950752</v>
      </c>
      <c r="J67" s="52">
        <f t="shared" si="43"/>
        <v>8318.321722675999</v>
      </c>
      <c r="K67" s="52">
        <f t="shared" si="43"/>
        <v>8694.613018616</v>
      </c>
      <c r="L67" s="52">
        <f t="shared" si="43"/>
        <v>7746.35311346</v>
      </c>
      <c r="M67" s="52">
        <f t="shared" si="43"/>
        <v>8598.859294760001</v>
      </c>
      <c r="N67" s="52">
        <f t="shared" si="43"/>
        <v>7371.451772708</v>
      </c>
      <c r="O67" s="52">
        <f t="shared" si="43"/>
        <v>9134.645273684</v>
      </c>
      <c r="P67" s="52">
        <f t="shared" si="43"/>
        <v>11284.881250483999</v>
      </c>
      <c r="Q67" s="53"/>
      <c r="R67" s="54">
        <f>SUM(E67:P67)</f>
        <v>114674.372248908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7972.414200000001</v>
      </c>
      <c r="F72" s="6">
        <f t="shared" si="46"/>
        <v>8763.762600000002</v>
      </c>
      <c r="G72" s="6">
        <f t="shared" si="46"/>
        <v>8974.227600000002</v>
      </c>
      <c r="H72" s="6">
        <f t="shared" si="46"/>
        <v>5859.345600000001</v>
      </c>
      <c r="I72" s="6">
        <f t="shared" si="46"/>
        <v>4461.858</v>
      </c>
      <c r="J72" s="6">
        <f t="shared" si="46"/>
        <v>4958.5554</v>
      </c>
      <c r="K72" s="6">
        <f t="shared" si="46"/>
        <v>5253.206400000001</v>
      </c>
      <c r="L72" s="6">
        <f t="shared" si="46"/>
        <v>4756.509000000001</v>
      </c>
      <c r="M72" s="6">
        <f t="shared" si="46"/>
        <v>5387.904</v>
      </c>
      <c r="N72" s="6">
        <f t="shared" si="46"/>
        <v>4520.788200000001</v>
      </c>
      <c r="O72" s="6">
        <f t="shared" si="46"/>
        <v>5901.4386</v>
      </c>
      <c r="P72" s="6">
        <f t="shared" si="46"/>
        <v>7585.158600000001</v>
      </c>
      <c r="Q72" s="47"/>
      <c r="R72" s="47">
        <f t="shared" si="45"/>
        <v>74395.1682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918.972</v>
      </c>
      <c r="F73" s="6">
        <f t="shared" si="47"/>
        <v>984.096</v>
      </c>
      <c r="G73" s="6">
        <f t="shared" si="47"/>
        <v>1161.378</v>
      </c>
      <c r="H73" s="6">
        <f t="shared" si="47"/>
        <v>1168.614</v>
      </c>
      <c r="I73" s="6">
        <f t="shared" si="47"/>
        <v>1269.918</v>
      </c>
      <c r="J73" s="6">
        <f t="shared" si="47"/>
        <v>1479.762</v>
      </c>
      <c r="K73" s="6">
        <f t="shared" si="47"/>
        <v>1479.762</v>
      </c>
      <c r="L73" s="6">
        <f t="shared" si="47"/>
        <v>1233.738</v>
      </c>
      <c r="M73" s="6">
        <f t="shared" si="47"/>
        <v>1269.918</v>
      </c>
      <c r="N73" s="6">
        <f t="shared" si="47"/>
        <v>1175.85</v>
      </c>
      <c r="O73" s="6">
        <f t="shared" si="47"/>
        <v>1175.85</v>
      </c>
      <c r="P73" s="6">
        <f t="shared" si="47"/>
        <v>1175.85</v>
      </c>
      <c r="Q73" s="47"/>
      <c r="R73" s="47">
        <f t="shared" si="45"/>
        <v>14493.707999999999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231.95060400000003</v>
      </c>
      <c r="F75" s="6">
        <f t="shared" si="49"/>
        <v>254.97421200000002</v>
      </c>
      <c r="G75" s="6">
        <f t="shared" si="49"/>
        <v>261.097512</v>
      </c>
      <c r="H75" s="6">
        <f t="shared" si="49"/>
        <v>170.47267200000002</v>
      </c>
      <c r="I75" s="6">
        <f t="shared" si="49"/>
        <v>129.81396</v>
      </c>
      <c r="J75" s="6">
        <f t="shared" si="49"/>
        <v>144.264948</v>
      </c>
      <c r="K75" s="6">
        <f t="shared" si="49"/>
        <v>152.837568</v>
      </c>
      <c r="L75" s="6">
        <f t="shared" si="49"/>
        <v>138.38658</v>
      </c>
      <c r="M75" s="6">
        <f t="shared" si="49"/>
        <v>156.75648</v>
      </c>
      <c r="N75" s="6">
        <f t="shared" si="49"/>
        <v>131.52848400000002</v>
      </c>
      <c r="O75" s="6">
        <f t="shared" si="49"/>
        <v>171.69733200000002</v>
      </c>
      <c r="P75" s="6">
        <f t="shared" si="49"/>
        <v>220.68373200000002</v>
      </c>
      <c r="Q75" s="47"/>
      <c r="R75" s="47">
        <f t="shared" si="45"/>
        <v>2164.464084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112.04903999999999</v>
      </c>
      <c r="F76" s="6">
        <f t="shared" si="50"/>
        <v>123.17111999999999</v>
      </c>
      <c r="G76" s="6">
        <f t="shared" si="50"/>
        <v>126.12911999999999</v>
      </c>
      <c r="H76" s="6">
        <f t="shared" si="50"/>
        <v>82.35072</v>
      </c>
      <c r="I76" s="6">
        <f t="shared" si="50"/>
        <v>62.709599999999995</v>
      </c>
      <c r="J76" s="6">
        <f t="shared" si="50"/>
        <v>69.69048</v>
      </c>
      <c r="K76" s="6">
        <f t="shared" si="50"/>
        <v>73.83167999999999</v>
      </c>
      <c r="L76" s="6">
        <f t="shared" si="50"/>
        <v>66.85079999999999</v>
      </c>
      <c r="M76" s="6">
        <f t="shared" si="50"/>
        <v>75.72479999999999</v>
      </c>
      <c r="N76" s="6">
        <f t="shared" si="50"/>
        <v>63.537839999999996</v>
      </c>
      <c r="O76" s="6">
        <f t="shared" si="50"/>
        <v>82.94232</v>
      </c>
      <c r="P76" s="6">
        <f t="shared" si="50"/>
        <v>106.60631999999998</v>
      </c>
      <c r="Q76" s="47"/>
      <c r="R76" s="47">
        <f t="shared" si="45"/>
        <v>1045.5938399999998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134.32248</v>
      </c>
      <c r="F77" s="6">
        <f aca="true" t="shared" si="51" ref="F77:P77">$D77*F$7</f>
        <v>147.65544000000003</v>
      </c>
      <c r="G77" s="6">
        <f t="shared" si="51"/>
        <v>151.20144000000002</v>
      </c>
      <c r="H77" s="6">
        <f t="shared" si="51"/>
        <v>98.72064</v>
      </c>
      <c r="I77" s="6">
        <f t="shared" si="51"/>
        <v>75.1752</v>
      </c>
      <c r="J77" s="6">
        <f t="shared" si="51"/>
        <v>83.54376</v>
      </c>
      <c r="K77" s="6">
        <f t="shared" si="51"/>
        <v>88.50816</v>
      </c>
      <c r="L77" s="6">
        <f t="shared" si="51"/>
        <v>80.1396</v>
      </c>
      <c r="M77" s="6">
        <f t="shared" si="51"/>
        <v>90.7776</v>
      </c>
      <c r="N77" s="6">
        <f t="shared" si="51"/>
        <v>76.16808</v>
      </c>
      <c r="O77" s="6">
        <f t="shared" si="51"/>
        <v>99.42984000000001</v>
      </c>
      <c r="P77" s="6">
        <f t="shared" si="51"/>
        <v>127.79784000000001</v>
      </c>
      <c r="Q77" s="47"/>
      <c r="R77" s="47">
        <f t="shared" si="45"/>
        <v>1253.44008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157.9596</v>
      </c>
      <c r="F80" s="6">
        <f t="shared" si="54"/>
        <v>173.6388</v>
      </c>
      <c r="G80" s="6">
        <f t="shared" si="54"/>
        <v>177.8088</v>
      </c>
      <c r="H80" s="6">
        <f t="shared" si="54"/>
        <v>116.0928</v>
      </c>
      <c r="I80" s="6">
        <f t="shared" si="54"/>
        <v>88.404</v>
      </c>
      <c r="J80" s="6">
        <f t="shared" si="54"/>
        <v>98.2452</v>
      </c>
      <c r="K80" s="6">
        <f t="shared" si="54"/>
        <v>104.08319999999999</v>
      </c>
      <c r="L80" s="6">
        <f t="shared" si="54"/>
        <v>94.24199999999999</v>
      </c>
      <c r="M80" s="6">
        <f t="shared" si="54"/>
        <v>106.752</v>
      </c>
      <c r="N80" s="6">
        <f t="shared" si="54"/>
        <v>89.5716</v>
      </c>
      <c r="O80" s="6">
        <f t="shared" si="54"/>
        <v>116.9268</v>
      </c>
      <c r="P80" s="6">
        <f t="shared" si="54"/>
        <v>150.2868</v>
      </c>
      <c r="Q80" s="47"/>
      <c r="R80" s="47">
        <f t="shared" si="45"/>
        <v>1474.0116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114.3</v>
      </c>
      <c r="F81" s="6">
        <f t="shared" si="55"/>
        <v>122.4</v>
      </c>
      <c r="G81" s="6">
        <f t="shared" si="55"/>
        <v>144.45000000000002</v>
      </c>
      <c r="H81" s="6">
        <f t="shared" si="55"/>
        <v>145.35</v>
      </c>
      <c r="I81" s="6">
        <f t="shared" si="55"/>
        <v>157.95000000000002</v>
      </c>
      <c r="J81" s="6">
        <f t="shared" si="55"/>
        <v>184.05</v>
      </c>
      <c r="K81" s="6">
        <f t="shared" si="55"/>
        <v>184.05</v>
      </c>
      <c r="L81" s="6">
        <f t="shared" si="55"/>
        <v>153.45000000000002</v>
      </c>
      <c r="M81" s="6">
        <f t="shared" si="55"/>
        <v>157.95000000000002</v>
      </c>
      <c r="N81" s="6">
        <f t="shared" si="55"/>
        <v>146.25</v>
      </c>
      <c r="O81" s="6">
        <f t="shared" si="55"/>
        <v>146.25</v>
      </c>
      <c r="P81" s="6">
        <f t="shared" si="55"/>
        <v>146.25</v>
      </c>
      <c r="Q81" s="47"/>
      <c r="R81" s="47">
        <f t="shared" si="45"/>
        <v>1802.7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390.46459586204</v>
      </c>
      <c r="F82" s="6">
        <f t="shared" si="56"/>
        <v>426.8681368701201</v>
      </c>
      <c r="G82" s="6">
        <f t="shared" si="56"/>
        <v>447.75451435712023</v>
      </c>
      <c r="H82" s="6">
        <f t="shared" si="56"/>
        <v>322.92620288072</v>
      </c>
      <c r="I82" s="6">
        <f t="shared" si="56"/>
        <v>273.79063026559993</v>
      </c>
      <c r="J82" s="6">
        <f t="shared" si="56"/>
        <v>308.47511047748</v>
      </c>
      <c r="K82" s="6">
        <f t="shared" si="56"/>
        <v>320.3311391136801</v>
      </c>
      <c r="L82" s="6">
        <f t="shared" si="56"/>
        <v>283.1124169418001</v>
      </c>
      <c r="M82" s="6">
        <f t="shared" si="56"/>
        <v>311.05243455079994</v>
      </c>
      <c r="N82" s="6">
        <f t="shared" si="56"/>
        <v>269.5728068968401</v>
      </c>
      <c r="O82" s="6">
        <f t="shared" si="56"/>
        <v>325.12676964931995</v>
      </c>
      <c r="P82" s="6">
        <f t="shared" si="56"/>
        <v>392.87550471332</v>
      </c>
      <c r="Q82" s="47"/>
      <c r="R82" s="47">
        <f t="shared" si="45"/>
        <v>4072.350262578841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614.41277972564</v>
      </c>
      <c r="F83" s="6">
        <f t="shared" si="57"/>
        <v>671.6953120209201</v>
      </c>
      <c r="G83" s="6">
        <f t="shared" si="57"/>
        <v>704.5609223379204</v>
      </c>
      <c r="H83" s="6">
        <f t="shared" si="57"/>
        <v>508.13822318551996</v>
      </c>
      <c r="I83" s="6">
        <f t="shared" si="57"/>
        <v>430.8212933695999</v>
      </c>
      <c r="J83" s="6">
        <f t="shared" si="57"/>
        <v>485.39880981068</v>
      </c>
      <c r="K83" s="6">
        <f t="shared" si="57"/>
        <v>504.05477910488014</v>
      </c>
      <c r="L83" s="6">
        <f t="shared" si="57"/>
        <v>445.4895243038002</v>
      </c>
      <c r="M83" s="6">
        <f t="shared" si="57"/>
        <v>489.45433972279994</v>
      </c>
      <c r="N83" s="6">
        <f t="shared" si="57"/>
        <v>424.1843674924402</v>
      </c>
      <c r="O83" s="6">
        <f t="shared" si="57"/>
        <v>511.60090932812</v>
      </c>
      <c r="P83" s="6">
        <f t="shared" si="57"/>
        <v>618.2064481521201</v>
      </c>
      <c r="R83" s="47">
        <f t="shared" si="45"/>
        <v>6408.017708554441</v>
      </c>
      <c r="S83" s="20"/>
    </row>
    <row r="84" spans="1:18" ht="15.75" thickBot="1">
      <c r="A84" s="40"/>
      <c r="D84" s="9" t="s">
        <v>24</v>
      </c>
      <c r="E84" s="52">
        <f>SUM(E71:E83)</f>
        <v>10731.995299587681</v>
      </c>
      <c r="F84" s="52">
        <f aca="true" t="shared" si="58" ref="F84:P84">SUM(F71:F83)</f>
        <v>11753.411620891042</v>
      </c>
      <c r="G84" s="52">
        <f t="shared" si="58"/>
        <v>12233.757908695045</v>
      </c>
      <c r="H84" s="52">
        <f t="shared" si="58"/>
        <v>8557.16085806624</v>
      </c>
      <c r="I84" s="52">
        <f t="shared" si="58"/>
        <v>7035.590683635199</v>
      </c>
      <c r="J84" s="52">
        <f t="shared" si="58"/>
        <v>7897.13570828816</v>
      </c>
      <c r="K84" s="52">
        <f t="shared" si="58"/>
        <v>8245.814926218562</v>
      </c>
      <c r="L84" s="52">
        <f t="shared" si="58"/>
        <v>7337.067921245602</v>
      </c>
      <c r="M84" s="52">
        <f t="shared" si="58"/>
        <v>8131.4396542736</v>
      </c>
      <c r="N84" s="52">
        <f t="shared" si="58"/>
        <v>6982.601378389282</v>
      </c>
      <c r="O84" s="52">
        <f t="shared" si="58"/>
        <v>8616.412570977438</v>
      </c>
      <c r="P84" s="52">
        <f t="shared" si="58"/>
        <v>10608.86524486544</v>
      </c>
      <c r="Q84" s="53"/>
      <c r="R84" s="54">
        <f>SUM(E84:P84)</f>
        <v>108131.25377513331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59">
      <selection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9.140625" style="15" customWidth="1"/>
    <col min="5" max="5" width="14.00390625" style="15" bestFit="1" customWidth="1"/>
    <col min="6" max="6" width="12.140625" style="15" customWidth="1"/>
    <col min="7" max="7" width="12.8515625" style="15" customWidth="1"/>
    <col min="8" max="8" width="12.7109375" style="15" customWidth="1"/>
    <col min="9" max="9" width="11.8515625" style="15" customWidth="1"/>
    <col min="10" max="10" width="12.8515625" style="15" customWidth="1"/>
    <col min="11" max="11" width="14.00390625" style="15" customWidth="1"/>
    <col min="12" max="12" width="13.140625" style="15" customWidth="1"/>
    <col min="13" max="13" width="13.57421875" style="15" customWidth="1"/>
    <col min="14" max="15" width="11.7109375" style="15" customWidth="1"/>
    <col min="16" max="16" width="12.140625" style="15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88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93360</v>
      </c>
      <c r="F7" s="75">
        <v>97440</v>
      </c>
      <c r="G7" s="75">
        <v>65280</v>
      </c>
      <c r="H7" s="75">
        <v>77760</v>
      </c>
      <c r="I7" s="75">
        <v>73680</v>
      </c>
      <c r="J7" s="75">
        <v>56880</v>
      </c>
      <c r="K7" s="75">
        <v>75600</v>
      </c>
      <c r="L7" s="75">
        <v>60480</v>
      </c>
      <c r="M7" s="75">
        <v>73920</v>
      </c>
      <c r="N7" s="75">
        <v>74400</v>
      </c>
      <c r="O7" s="75">
        <v>63360</v>
      </c>
      <c r="P7" s="75">
        <v>58320</v>
      </c>
      <c r="R7" s="4">
        <f>SUM(E7:P7)</f>
        <v>870480</v>
      </c>
      <c r="S7" s="74">
        <f>R7/(8760*MAX(E10:P10))</f>
        <v>0.3464779045108041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R9" s="4"/>
      <c r="W9" s="15" t="s">
        <v>45</v>
      </c>
      <c r="X9" s="20"/>
    </row>
    <row r="10" spans="2:24" ht="15">
      <c r="B10" s="34">
        <f>MAX(E10:P10)</f>
        <v>286.8</v>
      </c>
      <c r="C10" s="34"/>
      <c r="D10" s="10" t="s">
        <v>5</v>
      </c>
      <c r="E10" s="76">
        <v>278.2</v>
      </c>
      <c r="F10" s="76">
        <v>286.8</v>
      </c>
      <c r="G10" s="76">
        <v>252</v>
      </c>
      <c r="H10" s="76">
        <v>238.1</v>
      </c>
      <c r="I10" s="76">
        <v>245.5</v>
      </c>
      <c r="J10" s="76">
        <v>239.3</v>
      </c>
      <c r="K10" s="76">
        <v>230.4</v>
      </c>
      <c r="L10" s="76">
        <v>230.9</v>
      </c>
      <c r="M10" s="76">
        <v>235.9</v>
      </c>
      <c r="N10" s="76">
        <v>272.6</v>
      </c>
      <c r="O10" s="76">
        <v>191</v>
      </c>
      <c r="P10" s="76">
        <v>147.6</v>
      </c>
      <c r="R10" s="4">
        <f>SUM(E10:P10)</f>
        <v>2848.2999999999997</v>
      </c>
      <c r="W10" s="15" t="s">
        <v>46</v>
      </c>
      <c r="X10" s="20"/>
    </row>
    <row r="11" spans="2:24" ht="15">
      <c r="B11" s="34">
        <f>MAX(E11:P11)</f>
        <v>286.8</v>
      </c>
      <c r="C11" s="34"/>
      <c r="D11" s="10" t="s">
        <v>6</v>
      </c>
      <c r="E11" s="76">
        <v>278.2</v>
      </c>
      <c r="F11" s="76">
        <v>286.8</v>
      </c>
      <c r="G11" s="76">
        <v>252</v>
      </c>
      <c r="H11" s="76">
        <v>238.1</v>
      </c>
      <c r="I11" s="76">
        <v>245.5</v>
      </c>
      <c r="J11" s="76">
        <v>239.3</v>
      </c>
      <c r="K11" s="76">
        <v>230.4</v>
      </c>
      <c r="L11" s="76">
        <v>230.9</v>
      </c>
      <c r="M11" s="76">
        <v>235.9</v>
      </c>
      <c r="N11" s="76">
        <v>272.6</v>
      </c>
      <c r="O11" s="76">
        <v>191</v>
      </c>
      <c r="P11" s="76">
        <v>147.6</v>
      </c>
      <c r="R11" s="4">
        <f>SUM(E11:P11)</f>
        <v>2848.2999999999997</v>
      </c>
      <c r="W11" s="15" t="s">
        <v>47</v>
      </c>
      <c r="X11" s="20"/>
    </row>
    <row r="12" spans="2:24" ht="15">
      <c r="B12" s="34">
        <f>MAX(E12:P12)</f>
        <v>286.8</v>
      </c>
      <c r="C12" s="34"/>
      <c r="D12" s="10" t="s">
        <v>7</v>
      </c>
      <c r="E12" s="76">
        <v>278.2</v>
      </c>
      <c r="F12" s="76">
        <v>286.8</v>
      </c>
      <c r="G12" s="76">
        <v>252</v>
      </c>
      <c r="H12" s="76">
        <v>238.1</v>
      </c>
      <c r="I12" s="76">
        <v>245.5</v>
      </c>
      <c r="J12" s="76">
        <v>239.3</v>
      </c>
      <c r="K12" s="76">
        <v>230.4</v>
      </c>
      <c r="L12" s="76">
        <v>230.9</v>
      </c>
      <c r="M12" s="76">
        <v>235.9</v>
      </c>
      <c r="N12" s="76">
        <v>272.6</v>
      </c>
      <c r="O12" s="76">
        <v>191</v>
      </c>
      <c r="P12" s="76">
        <v>147.6</v>
      </c>
      <c r="R12" s="4">
        <f>SUM(E12:P12)</f>
        <v>2848.2999999999997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School Current</v>
      </c>
      <c r="D15" s="45" t="s">
        <v>44</v>
      </c>
      <c r="E15" s="25">
        <f>IF($D$15="Rate 1",E32,IF($D$15="Rate 2",E46,IF($D$15="Rate 3",#REF!,IF($D$15="Rate 4",#REF!,IF($D$15="Rate 5",E67,IF($D$15="Rate 6",E84,IF($D$15="Rate 7",#REF!,IF($D$15="Rate 8",#REF!))))))))</f>
        <v>9746.421335551999</v>
      </c>
      <c r="F15" s="25">
        <f>IF($D$15="Rate 1",F32,IF($D$15="Rate 2",F46,IF($D$15="Rate 3",#REF!,IF($D$15="Rate 4",#REF!,IF($D$15="Rate 5",F67,IF($D$15="Rate 6",F84,IF($D$15="Rate 7",#REF!,IF($D$15="Rate 8",#REF!))))))))</f>
        <v>10151.665665007999</v>
      </c>
      <c r="G15" s="25">
        <f>IF($D$15="Rate 1",G32,IF($D$15="Rate 2",G46,IF($D$15="Rate 3",#REF!,IF($D$15="Rate 4",#REF!,IF($D$15="Rate 5",G67,IF($D$15="Rate 6",G84,IF($D$15="Rate 7",#REF!,IF($D$15="Rate 8",#REF!))))))))</f>
        <v>7109.685894896</v>
      </c>
      <c r="H15" s="25">
        <f>IF($D$15="Rate 1",H32,IF($D$15="Rate 2",H46,IF($D$15="Rate 3",#REF!,IF($D$15="Rate 4",#REF!,IF($D$15="Rate 5",H67,IF($D$15="Rate 6",H84,IF($D$15="Rate 7",#REF!,IF($D$15="Rate 8",#REF!))))))))</f>
        <v>8163.635513732001</v>
      </c>
      <c r="I15" s="25">
        <f>IF($D$15="Rate 1",I32,IF($D$15="Rate 2",I46,IF($D$15="Rate 3",#REF!,IF($D$15="Rate 4",#REF!,IF($D$15="Rate 5",I67,IF($D$15="Rate 6",I84,IF($D$15="Rate 7",#REF!,IF($D$15="Rate 8",#REF!))))))))</f>
        <v>7832.259488276001</v>
      </c>
      <c r="J15" s="25">
        <f>IF($D$15="Rate 1",J32,IF($D$15="Rate 2",J46,IF($D$15="Rate 3",#REF!,IF($D$15="Rate 4",#REF!,IF($D$15="Rate 5",J67,IF($D$15="Rate 6",J84,IF($D$15="Rate 7",#REF!,IF($D$15="Rate 8",#REF!))))))))</f>
        <v>6298.470336715999</v>
      </c>
      <c r="K15" s="25">
        <f>IF($D$15="Rate 1",K32,IF($D$15="Rate 2",K46,IF($D$15="Rate 3",#REF!,IF($D$15="Rate 4",#REF!,IF($D$15="Rate 5",K67,IF($D$15="Rate 6",K84,IF($D$15="Rate 7",#REF!,IF($D$15="Rate 8",#REF!))))))))</f>
        <v>7934.56515452</v>
      </c>
      <c r="L15" s="25">
        <f>IF($D$15="Rate 1",L32,IF($D$15="Rate 2",L46,IF($D$15="Rate 3",#REF!,IF($D$15="Rate 4",#REF!,IF($D$15="Rate 5",L67,IF($D$15="Rate 6",L84,IF($D$15="Rate 7",#REF!,IF($D$15="Rate 8",#REF!))))))))</f>
        <v>6582.224873636</v>
      </c>
      <c r="M15" s="25">
        <f>IF($D$15="Rate 1",M32,IF($D$15="Rate 2",M46,IF($D$15="Rate 3",#REF!,IF($D$15="Rate 4",#REF!,IF($D$15="Rate 5",M67,IF($D$15="Rate 6",M84,IF($D$15="Rate 7",#REF!,IF($D$15="Rate 8",#REF!))))))))</f>
        <v>7809.440865644001</v>
      </c>
      <c r="N15" s="25">
        <f>IF($D$15="Rate 1",N32,IF($D$15="Rate 2",N46,IF($D$15="Rate 3",#REF!,IF($D$15="Rate 4",#REF!,IF($D$15="Rate 5",N67,IF($D$15="Rate 6",N84,IF($D$15="Rate 7",#REF!,IF($D$15="Rate 8",#REF!))))))))</f>
        <v>8021.881007479999</v>
      </c>
      <c r="O15" s="25">
        <f>IF($D$15="Rate 1",O32,IF($D$15="Rate 2",O46,IF($D$15="Rate 3",#REF!,IF($D$15="Rate 4",#REF!,IF($D$15="Rate 5",O67,IF($D$15="Rate 6",O84,IF($D$15="Rate 7",#REF!,IF($D$15="Rate 8",#REF!))))))))</f>
        <v>6656.044107752001</v>
      </c>
      <c r="P15" s="25">
        <f>IF($D$15="Rate 1",P32,IF($D$15="Rate 2",P46,IF($D$15="Rate 3",#REF!,IF($D$15="Rate 4",#REF!,IF($D$15="Rate 5",P67,IF($D$15="Rate 6",P84,IF($D$15="Rate 7",#REF!,IF($D$15="Rate 8",#REF!))))))))</f>
        <v>6004.126778024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92310.421021236</v>
      </c>
      <c r="X15" s="20"/>
    </row>
    <row r="16" spans="1:24" ht="15" customHeight="1" thickBot="1">
      <c r="A16" s="85"/>
      <c r="B16" s="24" t="s">
        <v>28</v>
      </c>
      <c r="C16" s="44" t="str">
        <f>IF($D$16="Rate 1",B21,IF($D$16="Rate 2",B34,IF($D$16="Rate 3",B49,IF($D$16="Rate 4",#REF!,IF($D$16="Rate 5",B54,IF($D$16="Rate 6",B70,IF($D$16="Rate 7",#REF!,IF($D$16="Rate 8",#REF!))))))))</f>
        <v>L.G.S. School Proposed</v>
      </c>
      <c r="D16" s="45" t="s">
        <v>45</v>
      </c>
      <c r="E16" s="26">
        <f>IF($D$16="Rate 1",E32,IF($D$16="Rate 2",E46,IF($D$16="Rate 3",#REF!,IF($D$16="Rate 4",#REF!,IF($D$16="Rate 5",E67,IF($D$16="Rate 6",E84,IF($D$16="Rate 7",#REF!,IF($D$16="Rate 8",#REF!))))))))</f>
        <v>9162.601582526722</v>
      </c>
      <c r="F16" s="26">
        <f>IF($D$16="Rate 1",F32,IF($D$16="Rate 2",F46,IF($D$16="Rate 3",#REF!,IF($D$16="Rate 4",#REF!,IF($D$16="Rate 5",F67,IF($D$16="Rate 6",F84,IF($D$16="Rate 7",#REF!,IF($D$16="Rate 8",#REF!))))))))</f>
        <v>9541.912240162881</v>
      </c>
      <c r="G16" s="26">
        <f>IF($D$16="Rate 1",G32,IF($D$16="Rate 2",G46,IF($D$16="Rate 3",#REF!,IF($D$16="Rate 4",#REF!,IF($D$16="Rate 5",G67,IF($D$16="Rate 6",G84,IF($D$16="Rate 7",#REF!,IF($D$16="Rate 8",#REF!))))))))</f>
        <v>6707.76276563936</v>
      </c>
      <c r="H16" s="26">
        <f>IF($D$16="Rate 1",H32,IF($D$16="Rate 2",H46,IF($D$16="Rate 3",#REF!,IF($D$16="Rate 4",#REF!,IF($D$16="Rate 5",H67,IF($D$16="Rate 6",H84,IF($D$16="Rate 7",#REF!,IF($D$16="Rate 8",#REF!))))))))</f>
        <v>7678.227403416322</v>
      </c>
      <c r="I16" s="26">
        <f>IF($D$16="Rate 1",I32,IF($D$16="Rate 2",I46,IF($D$16="Rate 3",#REF!,IF($D$16="Rate 4",#REF!,IF($D$16="Rate 5",I67,IF($D$16="Rate 6",I84,IF($D$16="Rate 7",#REF!,IF($D$16="Rate 8",#REF!))))))))</f>
        <v>7374.439914292161</v>
      </c>
      <c r="J16" s="26">
        <f>IF($D$16="Rate 1",J32,IF($D$16="Rate 2",J46,IF($D$16="Rate 3",#REF!,IF($D$16="Rate 4",#REF!,IF($D$16="Rate 5",J67,IF($D$16="Rate 6",J84,IF($D$16="Rate 7",#REF!,IF($D$16="Rate 8",#REF!))))))))</f>
        <v>5950.457814772159</v>
      </c>
      <c r="K16" s="26">
        <f>IF($D$16="Rate 1",K32,IF($D$16="Rate 2",K46,IF($D$16="Rate 3",#REF!,IF($D$16="Rate 4",#REF!,IF($D$16="Rate 5",K67,IF($D$16="Rate 6",K84,IF($D$16="Rate 7",#REF!,IF($D$16="Rate 8",#REF!))))))))</f>
        <v>7462.56113792</v>
      </c>
      <c r="L16" s="26">
        <f>IF($D$16="Rate 1",L32,IF($D$16="Rate 2",L46,IF($D$16="Rate 3",#REF!,IF($D$16="Rate 4",#REF!,IF($D$16="Rate 5",L67,IF($D$16="Rate 6",L84,IF($D$16="Rate 7",#REF!,IF($D$16="Rate 8",#REF!))))))))</f>
        <v>6209.676052386561</v>
      </c>
      <c r="M16" s="26">
        <f>IF($D$16="Rate 1",M32,IF($D$16="Rate 2",M46,IF($D$16="Rate 3",#REF!,IF($D$16="Rate 4",#REF!,IF($D$16="Rate 5",M67,IF($D$16="Rate 6",M84,IF($D$16="Rate 7",#REF!,IF($D$16="Rate 8",#REF!))))))))</f>
        <v>7349.050539923841</v>
      </c>
      <c r="N16" s="26">
        <f>IF($D$16="Rate 1",N32,IF($D$16="Rate 2",N46,IF($D$16="Rate 3",#REF!,IF($D$16="Rate 4",#REF!,IF($D$16="Rate 5",N67,IF($D$16="Rate 6",N84,IF($D$16="Rate 7",#REF!,IF($D$16="Rate 8",#REF!))))))))</f>
        <v>7562.130861176001</v>
      </c>
      <c r="O16" s="26">
        <f>IF($D$16="Rate 1",O32,IF($D$16="Rate 2",O46,IF($D$16="Rate 3",#REF!,IF($D$16="Rate 4",#REF!,IF($D$16="Rate 5",O67,IF($D$16="Rate 6",O84,IF($D$16="Rate 7",#REF!,IF($D$16="Rate 8",#REF!))))))))</f>
        <v>6260.434471776321</v>
      </c>
      <c r="P16" s="26">
        <f>IF($D$16="Rate 1",P32,IF($D$16="Rate 2",P46,IF($D$16="Rate 3",#REF!,IF($D$16="Rate 4",#REF!,IF($D$16="Rate 5",P67,IF($D$16="Rate 6",P84,IF($D$16="Rate 7",#REF!,IF($D$16="Rate 8",#REF!))))))))</f>
        <v>5637.162815671041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86896.41759966336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583.8197530252764</v>
      </c>
      <c r="F17" s="28">
        <f aca="true" t="shared" si="0" ref="F17:R17">F15-F16</f>
        <v>609.7534248451175</v>
      </c>
      <c r="G17" s="28">
        <f t="shared" si="0"/>
        <v>401.9231292566401</v>
      </c>
      <c r="H17" s="28">
        <f t="shared" si="0"/>
        <v>485.40811031567864</v>
      </c>
      <c r="I17" s="28">
        <f t="shared" si="0"/>
        <v>457.8195739838402</v>
      </c>
      <c r="J17" s="28">
        <f t="shared" si="0"/>
        <v>348.0125219438405</v>
      </c>
      <c r="K17" s="28">
        <f t="shared" si="0"/>
        <v>472.0040165999999</v>
      </c>
      <c r="L17" s="28">
        <f t="shared" si="0"/>
        <v>372.54882124943833</v>
      </c>
      <c r="M17" s="28">
        <f t="shared" si="0"/>
        <v>460.39032572016004</v>
      </c>
      <c r="N17" s="28">
        <f t="shared" si="0"/>
        <v>459.750146303998</v>
      </c>
      <c r="O17" s="28">
        <f t="shared" si="0"/>
        <v>395.60963597568025</v>
      </c>
      <c r="P17" s="29">
        <f t="shared" si="0"/>
        <v>366.96396235295833</v>
      </c>
      <c r="Q17" s="16"/>
      <c r="R17" s="28">
        <f t="shared" si="0"/>
        <v>5414.003421572648</v>
      </c>
      <c r="X17" s="20"/>
    </row>
    <row r="18" spans="2:24" ht="15" customHeight="1" thickBot="1">
      <c r="B18" s="13"/>
      <c r="C18" s="13"/>
      <c r="R18" s="64">
        <f>R17/R15</f>
        <v>0.05864996997822334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7277.412</v>
      </c>
      <c r="F56" s="6">
        <f t="shared" si="32"/>
        <v>7595.448</v>
      </c>
      <c r="G56" s="6">
        <f t="shared" si="32"/>
        <v>5088.576</v>
      </c>
      <c r="H56" s="6">
        <f t="shared" si="32"/>
        <v>6061.392000000001</v>
      </c>
      <c r="I56" s="6">
        <f t="shared" si="32"/>
        <v>5743.356000000001</v>
      </c>
      <c r="J56" s="6">
        <f t="shared" si="32"/>
        <v>4433.796</v>
      </c>
      <c r="K56" s="6">
        <f t="shared" si="32"/>
        <v>5893.02</v>
      </c>
      <c r="L56" s="6">
        <f t="shared" si="32"/>
        <v>4714.416</v>
      </c>
      <c r="M56" s="6">
        <f t="shared" si="32"/>
        <v>5762.064</v>
      </c>
      <c r="N56" s="6">
        <f t="shared" si="32"/>
        <v>5799.4800000000005</v>
      </c>
      <c r="O56" s="6">
        <f t="shared" si="32"/>
        <v>4938.912</v>
      </c>
      <c r="P56" s="6">
        <f t="shared" si="32"/>
        <v>4546.044</v>
      </c>
      <c r="Q56" s="47"/>
      <c r="R56" s="47">
        <f t="shared" si="31"/>
        <v>67853.916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1118.3639999999998</v>
      </c>
      <c r="F57" s="6">
        <f t="shared" si="33"/>
        <v>1152.936</v>
      </c>
      <c r="G57" s="6">
        <f t="shared" si="33"/>
        <v>1013.0399999999998</v>
      </c>
      <c r="H57" s="6">
        <f t="shared" si="33"/>
        <v>957.1619999999999</v>
      </c>
      <c r="I57" s="6">
        <f t="shared" si="33"/>
        <v>986.9099999999999</v>
      </c>
      <c r="J57" s="6">
        <f t="shared" si="33"/>
        <v>961.986</v>
      </c>
      <c r="K57" s="6">
        <f t="shared" si="33"/>
        <v>926.208</v>
      </c>
      <c r="L57" s="6">
        <f t="shared" si="33"/>
        <v>928.218</v>
      </c>
      <c r="M57" s="6">
        <f t="shared" si="33"/>
        <v>948.3179999999999</v>
      </c>
      <c r="N57" s="6">
        <f t="shared" si="33"/>
        <v>1095.8519999999999</v>
      </c>
      <c r="O57" s="6">
        <f t="shared" si="33"/>
        <v>767.8199999999999</v>
      </c>
      <c r="P57" s="6">
        <f t="shared" si="33"/>
        <v>593.3519999999999</v>
      </c>
      <c r="Q57" s="47"/>
      <c r="R57" s="47">
        <f t="shared" si="31"/>
        <v>11450.165999999997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92.05295999999998</v>
      </c>
      <c r="F59" s="6">
        <f t="shared" si="35"/>
        <v>96.07583999999999</v>
      </c>
      <c r="G59" s="6">
        <f t="shared" si="35"/>
        <v>64.36608</v>
      </c>
      <c r="H59" s="6">
        <f t="shared" si="35"/>
        <v>76.67135999999999</v>
      </c>
      <c r="I59" s="6">
        <f t="shared" si="35"/>
        <v>72.64847999999999</v>
      </c>
      <c r="J59" s="6">
        <f t="shared" si="35"/>
        <v>56.083679999999994</v>
      </c>
      <c r="K59" s="6">
        <f t="shared" si="35"/>
        <v>74.54159999999999</v>
      </c>
      <c r="L59" s="6">
        <f t="shared" si="35"/>
        <v>59.63327999999999</v>
      </c>
      <c r="M59" s="6">
        <f t="shared" si="35"/>
        <v>72.88511999999999</v>
      </c>
      <c r="N59" s="6">
        <f t="shared" si="35"/>
        <v>73.35839999999999</v>
      </c>
      <c r="O59" s="6">
        <f t="shared" si="35"/>
        <v>62.47295999999999</v>
      </c>
      <c r="P59" s="6">
        <f t="shared" si="35"/>
        <v>57.503519999999995</v>
      </c>
      <c r="Q59" s="47"/>
      <c r="R59" s="47">
        <f t="shared" si="31"/>
        <v>858.2932799999999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190.557096</v>
      </c>
      <c r="F60" s="6">
        <f t="shared" si="36"/>
        <v>198.88478400000002</v>
      </c>
      <c r="G60" s="6">
        <f t="shared" si="36"/>
        <v>133.243008</v>
      </c>
      <c r="H60" s="6">
        <f t="shared" si="36"/>
        <v>158.715936</v>
      </c>
      <c r="I60" s="6">
        <f t="shared" si="36"/>
        <v>150.388248</v>
      </c>
      <c r="J60" s="6">
        <f t="shared" si="36"/>
        <v>116.097768</v>
      </c>
      <c r="K60" s="6">
        <f t="shared" si="36"/>
        <v>154.30716</v>
      </c>
      <c r="L60" s="6">
        <f t="shared" si="36"/>
        <v>123.445728</v>
      </c>
      <c r="M60" s="6">
        <f t="shared" si="36"/>
        <v>150.87811200000002</v>
      </c>
      <c r="N60" s="6">
        <f t="shared" si="36"/>
        <v>151.85784</v>
      </c>
      <c r="O60" s="6">
        <f t="shared" si="36"/>
        <v>129.324096</v>
      </c>
      <c r="P60" s="6">
        <f t="shared" si="36"/>
        <v>119.03695200000001</v>
      </c>
      <c r="Q60" s="47"/>
      <c r="R60" s="47">
        <f t="shared" si="31"/>
        <v>1776.736728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90.5592</v>
      </c>
      <c r="F61" s="6">
        <f aca="true" t="shared" si="37" ref="F61:P61">$D61*F$7</f>
        <v>94.5168</v>
      </c>
      <c r="G61" s="6">
        <f t="shared" si="37"/>
        <v>63.321600000000004</v>
      </c>
      <c r="H61" s="6">
        <f t="shared" si="37"/>
        <v>75.4272</v>
      </c>
      <c r="I61" s="6">
        <f t="shared" si="37"/>
        <v>71.4696</v>
      </c>
      <c r="J61" s="6">
        <f t="shared" si="37"/>
        <v>55.1736</v>
      </c>
      <c r="K61" s="6">
        <f t="shared" si="37"/>
        <v>73.33200000000001</v>
      </c>
      <c r="L61" s="6">
        <f t="shared" si="37"/>
        <v>58.665600000000005</v>
      </c>
      <c r="M61" s="6">
        <f t="shared" si="37"/>
        <v>71.7024</v>
      </c>
      <c r="N61" s="6">
        <f t="shared" si="37"/>
        <v>72.168</v>
      </c>
      <c r="O61" s="6">
        <f t="shared" si="37"/>
        <v>61.4592</v>
      </c>
      <c r="P61" s="6">
        <f t="shared" si="37"/>
        <v>56.57040000000001</v>
      </c>
      <c r="Q61" s="47"/>
      <c r="R61" s="47">
        <f t="shared" si="31"/>
        <v>844.3656000000001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892.4760795519999</v>
      </c>
      <c r="F62" s="6">
        <f aca="true" t="shared" si="38" ref="F62:P62">(SUM(F55:F61)-($D60+$C60)*F$7)*$D62</f>
        <v>928.8042410079998</v>
      </c>
      <c r="G62" s="6">
        <f t="shared" si="38"/>
        <v>662.1392068959999</v>
      </c>
      <c r="H62" s="6">
        <f t="shared" si="38"/>
        <v>749.2670177320001</v>
      </c>
      <c r="I62" s="6">
        <f t="shared" si="38"/>
        <v>722.4871602760002</v>
      </c>
      <c r="J62" s="6">
        <f t="shared" si="38"/>
        <v>590.3332887159999</v>
      </c>
      <c r="K62" s="6">
        <f t="shared" si="38"/>
        <v>728.15639452</v>
      </c>
      <c r="L62" s="6">
        <f t="shared" si="38"/>
        <v>612.846265636</v>
      </c>
      <c r="M62" s="6">
        <f t="shared" si="38"/>
        <v>718.5932336440002</v>
      </c>
      <c r="N62" s="6">
        <f t="shared" si="38"/>
        <v>744.16476748</v>
      </c>
      <c r="O62" s="6">
        <f t="shared" si="38"/>
        <v>611.0558517520001</v>
      </c>
      <c r="P62" s="6">
        <f t="shared" si="38"/>
        <v>546.619906024</v>
      </c>
      <c r="Q62" s="47"/>
      <c r="R62" s="47">
        <f t="shared" si="31"/>
        <v>8506.943413235998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9746.421335551999</v>
      </c>
      <c r="F67" s="52">
        <f aca="true" t="shared" si="43" ref="F67:P67">SUM(F55:F66)</f>
        <v>10151.665665007999</v>
      </c>
      <c r="G67" s="52">
        <f t="shared" si="43"/>
        <v>7109.685894896</v>
      </c>
      <c r="H67" s="52">
        <f t="shared" si="43"/>
        <v>8163.635513732001</v>
      </c>
      <c r="I67" s="52">
        <f t="shared" si="43"/>
        <v>7832.259488276001</v>
      </c>
      <c r="J67" s="52">
        <f t="shared" si="43"/>
        <v>6298.470336715999</v>
      </c>
      <c r="K67" s="52">
        <f t="shared" si="43"/>
        <v>7934.56515452</v>
      </c>
      <c r="L67" s="52">
        <f t="shared" si="43"/>
        <v>6582.224873636</v>
      </c>
      <c r="M67" s="52">
        <f t="shared" si="43"/>
        <v>7809.440865644001</v>
      </c>
      <c r="N67" s="52">
        <f t="shared" si="43"/>
        <v>8021.881007479999</v>
      </c>
      <c r="O67" s="52">
        <f t="shared" si="43"/>
        <v>6656.044107752001</v>
      </c>
      <c r="P67" s="52">
        <f t="shared" si="43"/>
        <v>6004.126778024</v>
      </c>
      <c r="Q67" s="53"/>
      <c r="R67" s="54">
        <f>SUM(E67:P67)</f>
        <v>92310.421021236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6549.670800000001</v>
      </c>
      <c r="F72" s="6">
        <f t="shared" si="46"/>
        <v>6835.903200000001</v>
      </c>
      <c r="G72" s="6">
        <f t="shared" si="46"/>
        <v>4579.718400000001</v>
      </c>
      <c r="H72" s="6">
        <f t="shared" si="46"/>
        <v>5455.252800000001</v>
      </c>
      <c r="I72" s="6">
        <f t="shared" si="46"/>
        <v>5169.0204</v>
      </c>
      <c r="J72" s="6">
        <f t="shared" si="46"/>
        <v>3990.4164000000005</v>
      </c>
      <c r="K72" s="6">
        <f t="shared" si="46"/>
        <v>5303.718000000001</v>
      </c>
      <c r="L72" s="6">
        <f t="shared" si="46"/>
        <v>4242.974400000001</v>
      </c>
      <c r="M72" s="6">
        <f t="shared" si="46"/>
        <v>5185.8576</v>
      </c>
      <c r="N72" s="6">
        <f t="shared" si="46"/>
        <v>5219.532000000001</v>
      </c>
      <c r="O72" s="6">
        <f t="shared" si="46"/>
        <v>4445.0208</v>
      </c>
      <c r="P72" s="6">
        <f t="shared" si="46"/>
        <v>4091.4396000000006</v>
      </c>
      <c r="Q72" s="47"/>
      <c r="R72" s="47">
        <f t="shared" si="45"/>
        <v>61068.52440000001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1006.5275999999999</v>
      </c>
      <c r="F73" s="6">
        <f t="shared" si="47"/>
        <v>1037.6424</v>
      </c>
      <c r="G73" s="6">
        <f t="shared" si="47"/>
        <v>911.736</v>
      </c>
      <c r="H73" s="6">
        <f t="shared" si="47"/>
        <v>861.4458</v>
      </c>
      <c r="I73" s="6">
        <f t="shared" si="47"/>
        <v>888.2189999999999</v>
      </c>
      <c r="J73" s="6">
        <f t="shared" si="47"/>
        <v>865.7874</v>
      </c>
      <c r="K73" s="6">
        <f t="shared" si="47"/>
        <v>833.5871999999999</v>
      </c>
      <c r="L73" s="6">
        <f t="shared" si="47"/>
        <v>835.3962</v>
      </c>
      <c r="M73" s="6">
        <f t="shared" si="47"/>
        <v>853.4861999999999</v>
      </c>
      <c r="N73" s="6">
        <f t="shared" si="47"/>
        <v>986.2668000000001</v>
      </c>
      <c r="O73" s="6">
        <f t="shared" si="47"/>
        <v>691.038</v>
      </c>
      <c r="P73" s="6">
        <f t="shared" si="47"/>
        <v>534.0168</v>
      </c>
      <c r="Q73" s="47"/>
      <c r="R73" s="47">
        <f t="shared" si="45"/>
        <v>10305.1494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190.557096</v>
      </c>
      <c r="F75" s="6">
        <f t="shared" si="49"/>
        <v>198.88478400000002</v>
      </c>
      <c r="G75" s="6">
        <f t="shared" si="49"/>
        <v>133.243008</v>
      </c>
      <c r="H75" s="6">
        <f t="shared" si="49"/>
        <v>158.715936</v>
      </c>
      <c r="I75" s="6">
        <f t="shared" si="49"/>
        <v>150.388248</v>
      </c>
      <c r="J75" s="6">
        <f t="shared" si="49"/>
        <v>116.097768</v>
      </c>
      <c r="K75" s="6">
        <f t="shared" si="49"/>
        <v>154.30716</v>
      </c>
      <c r="L75" s="6">
        <f t="shared" si="49"/>
        <v>123.445728</v>
      </c>
      <c r="M75" s="6">
        <f t="shared" si="49"/>
        <v>150.87811200000002</v>
      </c>
      <c r="N75" s="6">
        <f t="shared" si="49"/>
        <v>151.85784</v>
      </c>
      <c r="O75" s="6">
        <f t="shared" si="49"/>
        <v>129.324096</v>
      </c>
      <c r="P75" s="6">
        <f t="shared" si="49"/>
        <v>119.03695200000001</v>
      </c>
      <c r="Q75" s="47"/>
      <c r="R75" s="47">
        <f t="shared" si="45"/>
        <v>1776.736728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92.05295999999998</v>
      </c>
      <c r="F76" s="6">
        <f t="shared" si="50"/>
        <v>96.07583999999999</v>
      </c>
      <c r="G76" s="6">
        <f t="shared" si="50"/>
        <v>64.36608</v>
      </c>
      <c r="H76" s="6">
        <f t="shared" si="50"/>
        <v>76.67135999999999</v>
      </c>
      <c r="I76" s="6">
        <f t="shared" si="50"/>
        <v>72.64847999999999</v>
      </c>
      <c r="J76" s="6">
        <f t="shared" si="50"/>
        <v>56.083679999999994</v>
      </c>
      <c r="K76" s="6">
        <f t="shared" si="50"/>
        <v>74.54159999999999</v>
      </c>
      <c r="L76" s="6">
        <f t="shared" si="50"/>
        <v>59.63327999999999</v>
      </c>
      <c r="M76" s="6">
        <f t="shared" si="50"/>
        <v>72.88511999999999</v>
      </c>
      <c r="N76" s="6">
        <f t="shared" si="50"/>
        <v>73.35839999999999</v>
      </c>
      <c r="O76" s="6">
        <f t="shared" si="50"/>
        <v>62.47295999999999</v>
      </c>
      <c r="P76" s="6">
        <f t="shared" si="50"/>
        <v>57.503519999999995</v>
      </c>
      <c r="Q76" s="47"/>
      <c r="R76" s="47">
        <f t="shared" si="45"/>
        <v>858.2932799999999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110.35152000000001</v>
      </c>
      <c r="F77" s="6">
        <f aca="true" t="shared" si="51" ref="F77:P77">$D77*F$7</f>
        <v>115.17408</v>
      </c>
      <c r="G77" s="6">
        <f t="shared" si="51"/>
        <v>77.16096</v>
      </c>
      <c r="H77" s="6">
        <f t="shared" si="51"/>
        <v>91.91232000000001</v>
      </c>
      <c r="I77" s="6">
        <f t="shared" si="51"/>
        <v>87.08976000000001</v>
      </c>
      <c r="J77" s="6">
        <f t="shared" si="51"/>
        <v>67.23216000000001</v>
      </c>
      <c r="K77" s="6">
        <f t="shared" si="51"/>
        <v>89.3592</v>
      </c>
      <c r="L77" s="6">
        <f t="shared" si="51"/>
        <v>71.48736000000001</v>
      </c>
      <c r="M77" s="6">
        <f t="shared" si="51"/>
        <v>87.37344</v>
      </c>
      <c r="N77" s="6">
        <f t="shared" si="51"/>
        <v>87.94080000000001</v>
      </c>
      <c r="O77" s="6">
        <f t="shared" si="51"/>
        <v>74.89152</v>
      </c>
      <c r="P77" s="6">
        <f t="shared" si="51"/>
        <v>68.93424</v>
      </c>
      <c r="Q77" s="47"/>
      <c r="R77" s="47">
        <f t="shared" si="45"/>
        <v>1028.90736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129.7704</v>
      </c>
      <c r="F80" s="6">
        <f t="shared" si="54"/>
        <v>135.4416</v>
      </c>
      <c r="G80" s="6">
        <f t="shared" si="54"/>
        <v>90.7392</v>
      </c>
      <c r="H80" s="6">
        <f t="shared" si="54"/>
        <v>108.0864</v>
      </c>
      <c r="I80" s="6">
        <f t="shared" si="54"/>
        <v>102.4152</v>
      </c>
      <c r="J80" s="6">
        <f t="shared" si="54"/>
        <v>79.0632</v>
      </c>
      <c r="K80" s="6">
        <f t="shared" si="54"/>
        <v>105.084</v>
      </c>
      <c r="L80" s="6">
        <f t="shared" si="54"/>
        <v>84.0672</v>
      </c>
      <c r="M80" s="6">
        <f t="shared" si="54"/>
        <v>102.7488</v>
      </c>
      <c r="N80" s="6">
        <f t="shared" si="54"/>
        <v>103.416</v>
      </c>
      <c r="O80" s="6">
        <f t="shared" si="54"/>
        <v>88.07039999999999</v>
      </c>
      <c r="P80" s="6">
        <f t="shared" si="54"/>
        <v>81.06479999999999</v>
      </c>
      <c r="Q80" s="47"/>
      <c r="R80" s="47">
        <f t="shared" si="45"/>
        <v>1209.9672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125.19</v>
      </c>
      <c r="F81" s="6">
        <f t="shared" si="55"/>
        <v>129.06</v>
      </c>
      <c r="G81" s="6">
        <f t="shared" si="55"/>
        <v>113.4</v>
      </c>
      <c r="H81" s="6">
        <f t="shared" si="55"/>
        <v>107.145</v>
      </c>
      <c r="I81" s="6">
        <f t="shared" si="55"/>
        <v>110.47500000000001</v>
      </c>
      <c r="J81" s="6">
        <f t="shared" si="55"/>
        <v>107.685</v>
      </c>
      <c r="K81" s="6">
        <f t="shared" si="55"/>
        <v>103.68</v>
      </c>
      <c r="L81" s="6">
        <f t="shared" si="55"/>
        <v>103.905</v>
      </c>
      <c r="M81" s="6">
        <f t="shared" si="55"/>
        <v>106.155</v>
      </c>
      <c r="N81" s="6">
        <f t="shared" si="55"/>
        <v>122.67000000000002</v>
      </c>
      <c r="O81" s="6">
        <f t="shared" si="55"/>
        <v>85.95</v>
      </c>
      <c r="P81" s="6">
        <f t="shared" si="55"/>
        <v>66.42</v>
      </c>
      <c r="Q81" s="47"/>
      <c r="R81" s="47">
        <f t="shared" si="45"/>
        <v>1281.7350000000001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339.3497802761602</v>
      </c>
      <c r="F82" s="6">
        <f t="shared" si="56"/>
        <v>353.04651332264</v>
      </c>
      <c r="G82" s="6">
        <f t="shared" si="56"/>
        <v>253.44404631607998</v>
      </c>
      <c r="H82" s="6">
        <f t="shared" si="56"/>
        <v>285.15079222496007</v>
      </c>
      <c r="I82" s="6">
        <f t="shared" si="56"/>
        <v>275.50884631447997</v>
      </c>
      <c r="J82" s="6">
        <f t="shared" si="56"/>
        <v>226.5135017544799</v>
      </c>
      <c r="K82" s="6">
        <f t="shared" si="56"/>
        <v>277.10203975999997</v>
      </c>
      <c r="L82" s="6">
        <f t="shared" si="56"/>
        <v>234.54704876768002</v>
      </c>
      <c r="M82" s="6">
        <f t="shared" si="56"/>
        <v>273.75346138352006</v>
      </c>
      <c r="N82" s="6">
        <f t="shared" si="56"/>
        <v>284.4091040780001</v>
      </c>
      <c r="O82" s="6">
        <f t="shared" si="56"/>
        <v>232.56527155496</v>
      </c>
      <c r="P82" s="6">
        <f t="shared" si="56"/>
        <v>207.33942708512006</v>
      </c>
      <c r="Q82" s="47"/>
      <c r="R82" s="47">
        <f t="shared" si="45"/>
        <v>3242.72983283808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533.9814262505603</v>
      </c>
      <c r="F83" s="6">
        <f t="shared" si="57"/>
        <v>555.5338228402401</v>
      </c>
      <c r="G83" s="6">
        <f t="shared" si="57"/>
        <v>398.80507132328</v>
      </c>
      <c r="H83" s="6">
        <f t="shared" si="57"/>
        <v>448.69699519136014</v>
      </c>
      <c r="I83" s="6">
        <f t="shared" si="57"/>
        <v>433.52497997768</v>
      </c>
      <c r="J83" s="6">
        <f t="shared" si="57"/>
        <v>356.4287050176799</v>
      </c>
      <c r="K83" s="6">
        <f t="shared" si="57"/>
        <v>436.03193816</v>
      </c>
      <c r="L83" s="6">
        <f t="shared" si="57"/>
        <v>369.06983561888006</v>
      </c>
      <c r="M83" s="6">
        <f t="shared" si="57"/>
        <v>430.7628065403201</v>
      </c>
      <c r="N83" s="6">
        <f t="shared" si="57"/>
        <v>447.52991709800017</v>
      </c>
      <c r="O83" s="6">
        <f t="shared" si="57"/>
        <v>365.95142422136</v>
      </c>
      <c r="P83" s="6">
        <f t="shared" si="57"/>
        <v>326.25747658592013</v>
      </c>
      <c r="R83" s="47">
        <f t="shared" si="45"/>
        <v>5102.574398825282</v>
      </c>
      <c r="S83" s="20"/>
    </row>
    <row r="84" spans="1:18" ht="15.75" thickBot="1">
      <c r="A84" s="40"/>
      <c r="D84" s="9" t="s">
        <v>24</v>
      </c>
      <c r="E84" s="52">
        <f>SUM(E71:E83)</f>
        <v>9162.601582526722</v>
      </c>
      <c r="F84" s="52">
        <f aca="true" t="shared" si="58" ref="F84:P84">SUM(F71:F83)</f>
        <v>9541.912240162881</v>
      </c>
      <c r="G84" s="52">
        <f t="shared" si="58"/>
        <v>6707.76276563936</v>
      </c>
      <c r="H84" s="52">
        <f t="shared" si="58"/>
        <v>7678.227403416322</v>
      </c>
      <c r="I84" s="52">
        <f t="shared" si="58"/>
        <v>7374.439914292161</v>
      </c>
      <c r="J84" s="52">
        <f t="shared" si="58"/>
        <v>5950.457814772159</v>
      </c>
      <c r="K84" s="52">
        <f t="shared" si="58"/>
        <v>7462.56113792</v>
      </c>
      <c r="L84" s="52">
        <f t="shared" si="58"/>
        <v>6209.676052386561</v>
      </c>
      <c r="M84" s="52">
        <f t="shared" si="58"/>
        <v>7349.050539923841</v>
      </c>
      <c r="N84" s="52">
        <f t="shared" si="58"/>
        <v>7562.130861176001</v>
      </c>
      <c r="O84" s="52">
        <f t="shared" si="58"/>
        <v>6260.434471776321</v>
      </c>
      <c r="P84" s="52">
        <f t="shared" si="58"/>
        <v>5637.162815671041</v>
      </c>
      <c r="Q84" s="53"/>
      <c r="R84" s="54">
        <f>SUM(E84:P84)</f>
        <v>86896.41759966336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41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104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28365</v>
      </c>
      <c r="F7" s="75">
        <v>29866</v>
      </c>
      <c r="G7" s="75">
        <v>22340</v>
      </c>
      <c r="H7" s="75">
        <v>24169</v>
      </c>
      <c r="I7" s="75">
        <v>20936</v>
      </c>
      <c r="J7" s="75">
        <v>17608</v>
      </c>
      <c r="K7" s="75">
        <v>22467</v>
      </c>
      <c r="L7" s="75">
        <v>19917</v>
      </c>
      <c r="M7" s="75">
        <v>24137</v>
      </c>
      <c r="N7" s="75">
        <v>26722</v>
      </c>
      <c r="O7" s="75">
        <v>228</v>
      </c>
      <c r="P7" s="75">
        <v>44042</v>
      </c>
      <c r="R7" s="4">
        <f>SUM(E7:P7)</f>
        <v>280797</v>
      </c>
      <c r="S7" s="74">
        <f>R7/(8760*MAX(E10:P10))</f>
        <v>0.246572708113804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"/>
      <c r="W9" s="15" t="s">
        <v>45</v>
      </c>
      <c r="X9" s="20"/>
    </row>
    <row r="10" spans="2:24" ht="15">
      <c r="B10" s="34">
        <f>MAX(E10:P10)</f>
        <v>130</v>
      </c>
      <c r="C10" s="34"/>
      <c r="D10" s="10" t="s">
        <v>5</v>
      </c>
      <c r="E10" s="76">
        <v>98.7</v>
      </c>
      <c r="F10" s="76">
        <v>111.39999999999999</v>
      </c>
      <c r="G10" s="76">
        <v>80</v>
      </c>
      <c r="H10" s="76">
        <v>73.7</v>
      </c>
      <c r="I10" s="76">
        <v>65.2</v>
      </c>
      <c r="J10" s="76">
        <v>63.599999999999994</v>
      </c>
      <c r="K10" s="76">
        <v>67.8</v>
      </c>
      <c r="L10" s="76">
        <v>67</v>
      </c>
      <c r="M10" s="76">
        <v>83</v>
      </c>
      <c r="N10" s="76">
        <v>92.3</v>
      </c>
      <c r="O10" s="76">
        <v>0</v>
      </c>
      <c r="P10" s="76">
        <v>130</v>
      </c>
      <c r="R10" s="4">
        <f>SUM(E10:P10)</f>
        <v>932.6999999999999</v>
      </c>
      <c r="W10" s="15" t="s">
        <v>46</v>
      </c>
      <c r="X10" s="20"/>
    </row>
    <row r="11" spans="2:24" ht="15">
      <c r="B11" s="34">
        <f>MAX(E11:P11)</f>
        <v>130</v>
      </c>
      <c r="C11" s="34"/>
      <c r="D11" s="10" t="s">
        <v>6</v>
      </c>
      <c r="E11" s="76">
        <v>98.7</v>
      </c>
      <c r="F11" s="76">
        <v>111.39999999999999</v>
      </c>
      <c r="G11" s="76">
        <v>80</v>
      </c>
      <c r="H11" s="76">
        <v>73.7</v>
      </c>
      <c r="I11" s="76">
        <v>65.2</v>
      </c>
      <c r="J11" s="76">
        <v>63.599999999999994</v>
      </c>
      <c r="K11" s="76">
        <v>67.8</v>
      </c>
      <c r="L11" s="76">
        <v>67</v>
      </c>
      <c r="M11" s="76">
        <v>83</v>
      </c>
      <c r="N11" s="76">
        <v>92.3</v>
      </c>
      <c r="O11" s="76">
        <v>0</v>
      </c>
      <c r="P11" s="76">
        <v>130</v>
      </c>
      <c r="R11" s="4">
        <f>SUM(E11:P11)</f>
        <v>932.6999999999999</v>
      </c>
      <c r="W11" s="15" t="s">
        <v>47</v>
      </c>
      <c r="X11" s="20"/>
    </row>
    <row r="12" spans="2:24" ht="15">
      <c r="B12" s="34">
        <f>MAX(E12:P12)</f>
        <v>130</v>
      </c>
      <c r="C12" s="34"/>
      <c r="D12" s="10" t="s">
        <v>7</v>
      </c>
      <c r="E12" s="76">
        <v>98.7</v>
      </c>
      <c r="F12" s="76">
        <v>111.39999999999999</v>
      </c>
      <c r="G12" s="76">
        <v>80</v>
      </c>
      <c r="H12" s="76">
        <v>73.7</v>
      </c>
      <c r="I12" s="76">
        <v>65.2</v>
      </c>
      <c r="J12" s="76">
        <v>63.599999999999994</v>
      </c>
      <c r="K12" s="76">
        <v>67.8</v>
      </c>
      <c r="L12" s="76">
        <v>67</v>
      </c>
      <c r="M12" s="76">
        <v>83</v>
      </c>
      <c r="N12" s="76">
        <v>92.3</v>
      </c>
      <c r="O12" s="76">
        <v>0</v>
      </c>
      <c r="P12" s="76">
        <v>130</v>
      </c>
      <c r="R12" s="4">
        <f>SUM(E12:P12)</f>
        <v>932.6999999999999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School Current</v>
      </c>
      <c r="D15" s="45" t="s">
        <v>44</v>
      </c>
      <c r="E15" s="25">
        <f>IF($D$15="Rate 1",E32,IF($D$15="Rate 2",E46,IF($D$15="Rate 3",#REF!,IF($D$15="Rate 4",#REF!,IF($D$15="Rate 5",E67,IF($D$15="Rate 6",E84,IF($D$15="Rate 7",#REF!,IF($D$15="Rate 8",#REF!))))))))</f>
        <v>3094.6034953805</v>
      </c>
      <c r="F15" s="25">
        <f>IF($D$15="Rate 1",F32,IF($D$15="Rate 2",F46,IF($D$15="Rate 3",#REF!,IF($D$15="Rate 4",#REF!,IF($D$15="Rate 5",F67,IF($D$15="Rate 6",F84,IF($D$15="Rate 7",#REF!,IF($D$15="Rate 8",#REF!))))))))</f>
        <v>3287.7158033962005</v>
      </c>
      <c r="G15" s="25">
        <f>IF($D$15="Rate 1",G32,IF($D$15="Rate 2",G46,IF($D$15="Rate 3",#REF!,IF($D$15="Rate 4",#REF!,IF($D$15="Rate 5",G67,IF($D$15="Rate 6",G84,IF($D$15="Rate 7",#REF!,IF($D$15="Rate 8",#REF!))))))))</f>
        <v>2468.4710917380003</v>
      </c>
      <c r="H15" s="25">
        <f>IF($D$15="Rate 1",H32,IF($D$15="Rate 2",H46,IF($D$15="Rate 3",#REF!,IF($D$15="Rate 4",#REF!,IF($D$15="Rate 5",H67,IF($D$15="Rate 6",H84,IF($D$15="Rate 7",#REF!,IF($D$15="Rate 8",#REF!))))))))</f>
        <v>2603.2513471033</v>
      </c>
      <c r="I15" s="25">
        <f>IF($D$15="Rate 1",I32,IF($D$15="Rate 2",I46,IF($D$15="Rate 3",#REF!,IF($D$15="Rate 4",#REF!,IF($D$15="Rate 5",I67,IF($D$15="Rate 6",I84,IF($D$15="Rate 7",#REF!,IF($D$15="Rate 8",#REF!))))))))</f>
        <v>2274.3541058952005</v>
      </c>
      <c r="J15" s="25">
        <f>IF($D$15="Rate 1",J32,IF($D$15="Rate 2",J46,IF($D$15="Rate 3",#REF!,IF($D$15="Rate 4",#REF!,IF($D$15="Rate 5",J67,IF($D$15="Rate 6",J84,IF($D$15="Rate 7",#REF!,IF($D$15="Rate 8",#REF!))))))))</f>
        <v>1968.8012200456003</v>
      </c>
      <c r="K15" s="25">
        <f>IF($D$15="Rate 1",K32,IF($D$15="Rate 2",K46,IF($D$15="Rate 3",#REF!,IF($D$15="Rate 4",#REF!,IF($D$15="Rate 5",K67,IF($D$15="Rate 6",K84,IF($D$15="Rate 7",#REF!,IF($D$15="Rate 8",#REF!))))))))</f>
        <v>2423.5248419819</v>
      </c>
      <c r="L15" s="25">
        <f>IF($D$15="Rate 1",L32,IF($D$15="Rate 2",L46,IF($D$15="Rate 3",#REF!,IF($D$15="Rate 4",#REF!,IF($D$15="Rate 5",L67,IF($D$15="Rate 6",L84,IF($D$15="Rate 7",#REF!,IF($D$15="Rate 8",#REF!))))))))</f>
        <v>2191.3688542469</v>
      </c>
      <c r="M15" s="25">
        <f>IF($D$15="Rate 1",M32,IF($D$15="Rate 2",M46,IF($D$15="Rate 3",#REF!,IF($D$15="Rate 4",#REF!,IF($D$15="Rate 5",M67,IF($D$15="Rate 6",M84,IF($D$15="Rate 7",#REF!,IF($D$15="Rate 8",#REF!))))))))</f>
        <v>2643.3203175009003</v>
      </c>
      <c r="N15" s="25">
        <f>IF($D$15="Rate 1",N32,IF($D$15="Rate 2",N46,IF($D$15="Rate 3",#REF!,IF($D$15="Rate 4",#REF!,IF($D$15="Rate 5",N67,IF($D$15="Rate 6",N84,IF($D$15="Rate 7",#REF!,IF($D$15="Rate 8",#REF!))))))))</f>
        <v>2917.8546025354</v>
      </c>
      <c r="O15" s="25">
        <f>IF($D$15="Rate 1",O32,IF($D$15="Rate 2",O46,IF($D$15="Rate 3",#REF!,IF($D$15="Rate 4",#REF!,IF($D$15="Rate 5",O67,IF($D$15="Rate 6",O84,IF($D$15="Rate 7",#REF!,IF($D$15="Rate 8",#REF!))))))))</f>
        <v>118.04549177959998</v>
      </c>
      <c r="P15" s="25">
        <f>IF($D$15="Rate 1",P32,IF($D$15="Rate 2",P46,IF($D$15="Rate 3",#REF!,IF($D$15="Rate 4",#REF!,IF($D$15="Rate 5",P67,IF($D$15="Rate 6",P84,IF($D$15="Rate 7",#REF!,IF($D$15="Rate 8",#REF!))))))))</f>
        <v>4643.6604237594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30634.971595362902</v>
      </c>
      <c r="X15" s="20"/>
    </row>
    <row r="16" spans="1:24" ht="15" customHeight="1" thickBot="1">
      <c r="A16" s="85"/>
      <c r="B16" s="24" t="s">
        <v>28</v>
      </c>
      <c r="C16" s="44" t="str">
        <f>IF($D$16="Rate 1",B21,IF($D$16="Rate 2",B34,IF($D$16="Rate 3",B49,IF($D$16="Rate 4",#REF!,IF($D$16="Rate 5",B54,IF($D$16="Rate 6",B70,IF($D$16="Rate 7",#REF!,IF($D$16="Rate 8",#REF!))))))))</f>
        <v>L.G.S. School Proposed</v>
      </c>
      <c r="D16" s="45" t="s">
        <v>45</v>
      </c>
      <c r="E16" s="26">
        <f>IF($D$16="Rate 1",E32,IF($D$16="Rate 2",E46,IF($D$16="Rate 3",#REF!,IF($D$16="Rate 4",#REF!,IF($D$16="Rate 5",E67,IF($D$16="Rate 6",E84,IF($D$16="Rate 7",#REF!,IF($D$16="Rate 8",#REF!))))))))</f>
        <v>2919.5151383097796</v>
      </c>
      <c r="F16" s="26">
        <f>IF($D$16="Rate 1",F32,IF($D$16="Rate 2",F46,IF($D$16="Rate 3",#REF!,IF($D$16="Rate 4",#REF!,IF($D$16="Rate 5",F67,IF($D$16="Rate 6",F84,IF($D$16="Rate 7",#REF!,IF($D$16="Rate 8",#REF!))))))))</f>
        <v>3104.072964295593</v>
      </c>
      <c r="G16" s="26">
        <f>IF($D$16="Rate 1",G32,IF($D$16="Rate 2",G46,IF($D$16="Rate 3",#REF!,IF($D$16="Rate 4",#REF!,IF($D$16="Rate 5",G67,IF($D$16="Rate 6",G84,IF($D$16="Rate 7",#REF!,IF($D$16="Rate 8",#REF!))))))))</f>
        <v>2331.05879510408</v>
      </c>
      <c r="H16" s="26">
        <f>IF($D$16="Rate 1",H32,IF($D$16="Rate 2",H46,IF($D$16="Rate 3",#REF!,IF($D$16="Rate 4",#REF!,IF($D$16="Rate 5",H67,IF($D$16="Rate 6",H84,IF($D$16="Rate 7",#REF!,IF($D$16="Rate 8",#REF!))))))))</f>
        <v>2453.163045025028</v>
      </c>
      <c r="I16" s="26">
        <f>IF($D$16="Rate 1",I32,IF($D$16="Rate 2",I46,IF($D$16="Rate 3",#REF!,IF($D$16="Rate 4",#REF!,IF($D$16="Rate 5",I67,IF($D$16="Rate 6",I84,IF($D$16="Rate 7",#REF!,IF($D$16="Rate 8",#REF!))))))))</f>
        <v>2144.641382808032</v>
      </c>
      <c r="J16" s="26">
        <f>IF($D$16="Rate 1",J32,IF($D$16="Rate 2",J46,IF($D$16="Rate 3",#REF!,IF($D$16="Rate 4",#REF!,IF($D$16="Rate 5",J67,IF($D$16="Rate 6",J84,IF($D$16="Rate 7",#REF!,IF($D$16="Rate 8",#REF!))))))))</f>
        <v>1860.8022951776964</v>
      </c>
      <c r="K16" s="26">
        <f>IF($D$16="Rate 1",K32,IF($D$16="Rate 2",K46,IF($D$16="Rate 3",#REF!,IF($D$16="Rate 4",#REF!,IF($D$16="Rate 5",K67,IF($D$16="Rate 6",K84,IF($D$16="Rate 7",#REF!,IF($D$16="Rate 8",#REF!))))))))</f>
        <v>2284.015774513005</v>
      </c>
      <c r="L16" s="26">
        <f>IF($D$16="Rate 1",L32,IF($D$16="Rate 2",L46,IF($D$16="Rate 3",#REF!,IF($D$16="Rate 4",#REF!,IF($D$16="Rate 5",L67,IF($D$16="Rate 6",L84,IF($D$16="Rate 7",#REF!,IF($D$16="Rate 8",#REF!))))))))</f>
        <v>2068.541519486804</v>
      </c>
      <c r="M16" s="26">
        <f>IF($D$16="Rate 1",M32,IF($D$16="Rate 2",M46,IF($D$16="Rate 3",#REF!,IF($D$16="Rate 4",#REF!,IF($D$16="Rate 5",M67,IF($D$16="Rate 6",M84,IF($D$16="Rate 7",#REF!,IF($D$16="Rate 8",#REF!))))))))</f>
        <v>2494.4042831574443</v>
      </c>
      <c r="N16" s="26">
        <f>IF($D$16="Rate 1",N32,IF($D$16="Rate 2",N46,IF($D$16="Rate 3",#REF!,IF($D$16="Rate 4",#REF!,IF($D$16="Rate 5",N67,IF($D$16="Rate 6",N84,IF($D$16="Rate 7",#REF!,IF($D$16="Rate 8",#REF!))))))))</f>
        <v>2752.905881605064</v>
      </c>
      <c r="O16" s="26">
        <f>IF($D$16="Rate 1",O32,IF($D$16="Rate 2",O46,IF($D$16="Rate 3",#REF!,IF($D$16="Rate 4",#REF!,IF($D$16="Rate 5",O67,IF($D$16="Rate 6",O84,IF($D$16="Rate 7",#REF!,IF($D$16="Rate 8",#REF!))))))))</f>
        <v>117.729889001936</v>
      </c>
      <c r="P16" s="26">
        <f>IF($D$16="Rate 1",P32,IF($D$16="Rate 2",P46,IF($D$16="Rate 3",#REF!,IF($D$16="Rate 4",#REF!,IF($D$16="Rate 5",P67,IF($D$16="Rate 6",P84,IF($D$16="Rate 7",#REF!,IF($D$16="Rate 8",#REF!))))))))</f>
        <v>4368.744027067304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28899.594995551764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175.08835707072058</v>
      </c>
      <c r="F17" s="28">
        <f aca="true" t="shared" si="0" ref="F17:R17">F15-F16</f>
        <v>183.6428391006075</v>
      </c>
      <c r="G17" s="28">
        <f t="shared" si="0"/>
        <v>137.41229663392005</v>
      </c>
      <c r="H17" s="28">
        <f t="shared" si="0"/>
        <v>150.08830207827168</v>
      </c>
      <c r="I17" s="28">
        <f t="shared" si="0"/>
        <v>129.71272308716834</v>
      </c>
      <c r="J17" s="28">
        <f t="shared" si="0"/>
        <v>107.99892486790395</v>
      </c>
      <c r="K17" s="28">
        <f t="shared" si="0"/>
        <v>139.50906746889495</v>
      </c>
      <c r="L17" s="28">
        <f t="shared" si="0"/>
        <v>122.82733476009571</v>
      </c>
      <c r="M17" s="28">
        <f t="shared" si="0"/>
        <v>148.91603434345598</v>
      </c>
      <c r="N17" s="28">
        <f t="shared" si="0"/>
        <v>164.94872093033564</v>
      </c>
      <c r="O17" s="28">
        <f t="shared" si="0"/>
        <v>0.31560277766398315</v>
      </c>
      <c r="P17" s="29">
        <f t="shared" si="0"/>
        <v>274.916396692096</v>
      </c>
      <c r="Q17" s="16"/>
      <c r="R17" s="28">
        <f t="shared" si="0"/>
        <v>1735.3765998111376</v>
      </c>
      <c r="X17" s="20"/>
    </row>
    <row r="18" spans="2:24" ht="15" customHeight="1" thickBot="1">
      <c r="B18" s="13"/>
      <c r="C18" s="13"/>
      <c r="R18" s="64">
        <f>R17/R15</f>
        <v>0.056646913949605714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2211.05175</v>
      </c>
      <c r="F56" s="6">
        <f t="shared" si="32"/>
        <v>2328.0547</v>
      </c>
      <c r="G56" s="6">
        <f t="shared" si="32"/>
        <v>1741.403</v>
      </c>
      <c r="H56" s="6">
        <f t="shared" si="32"/>
        <v>1883.9735500000002</v>
      </c>
      <c r="I56" s="6">
        <f t="shared" si="32"/>
        <v>1631.9612000000002</v>
      </c>
      <c r="J56" s="6">
        <f t="shared" si="32"/>
        <v>1372.5436000000002</v>
      </c>
      <c r="K56" s="6">
        <f t="shared" si="32"/>
        <v>1751.30265</v>
      </c>
      <c r="L56" s="6">
        <f t="shared" si="32"/>
        <v>1552.53015</v>
      </c>
      <c r="M56" s="6">
        <f t="shared" si="32"/>
        <v>1881.4791500000001</v>
      </c>
      <c r="N56" s="6">
        <f t="shared" si="32"/>
        <v>2082.9799000000003</v>
      </c>
      <c r="O56" s="6">
        <f t="shared" si="32"/>
        <v>17.7726</v>
      </c>
      <c r="P56" s="6">
        <f t="shared" si="32"/>
        <v>3433.0739000000003</v>
      </c>
      <c r="Q56" s="47"/>
      <c r="R56" s="47">
        <f t="shared" si="31"/>
        <v>21888.126150000004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396.77399999999994</v>
      </c>
      <c r="F57" s="6">
        <f t="shared" si="33"/>
        <v>447.8279999999999</v>
      </c>
      <c r="G57" s="6">
        <f t="shared" si="33"/>
        <v>321.59999999999997</v>
      </c>
      <c r="H57" s="6">
        <f t="shared" si="33"/>
        <v>296.274</v>
      </c>
      <c r="I57" s="6">
        <f t="shared" si="33"/>
        <v>262.104</v>
      </c>
      <c r="J57" s="6">
        <f t="shared" si="33"/>
        <v>255.67199999999994</v>
      </c>
      <c r="K57" s="6">
        <f t="shared" si="33"/>
        <v>272.556</v>
      </c>
      <c r="L57" s="6">
        <f t="shared" si="33"/>
        <v>269.34</v>
      </c>
      <c r="M57" s="6">
        <f t="shared" si="33"/>
        <v>333.65999999999997</v>
      </c>
      <c r="N57" s="6">
        <f t="shared" si="33"/>
        <v>371.04599999999994</v>
      </c>
      <c r="O57" s="6">
        <f t="shared" si="33"/>
        <v>0</v>
      </c>
      <c r="P57" s="6">
        <f t="shared" si="33"/>
        <v>522.5999999999999</v>
      </c>
      <c r="Q57" s="47"/>
      <c r="R57" s="47">
        <f t="shared" si="31"/>
        <v>3749.4539999999993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27.967889999999997</v>
      </c>
      <c r="F59" s="6">
        <f t="shared" si="35"/>
        <v>29.447875999999997</v>
      </c>
      <c r="G59" s="6">
        <f t="shared" si="35"/>
        <v>22.02724</v>
      </c>
      <c r="H59" s="6">
        <f t="shared" si="35"/>
        <v>23.830633999999996</v>
      </c>
      <c r="I59" s="6">
        <f t="shared" si="35"/>
        <v>20.642895999999997</v>
      </c>
      <c r="J59" s="6">
        <f t="shared" si="35"/>
        <v>17.361487999999998</v>
      </c>
      <c r="K59" s="6">
        <f t="shared" si="35"/>
        <v>22.152461999999996</v>
      </c>
      <c r="L59" s="6">
        <f t="shared" si="35"/>
        <v>19.638161999999998</v>
      </c>
      <c r="M59" s="6">
        <f t="shared" si="35"/>
        <v>23.799082</v>
      </c>
      <c r="N59" s="6">
        <f t="shared" si="35"/>
        <v>26.347891999999998</v>
      </c>
      <c r="O59" s="6">
        <f t="shared" si="35"/>
        <v>0.22480799999999998</v>
      </c>
      <c r="P59" s="6">
        <f t="shared" si="35"/>
        <v>43.425411999999994</v>
      </c>
      <c r="Q59" s="47"/>
      <c r="R59" s="47">
        <f t="shared" si="31"/>
        <v>276.86584199999993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57.895801500000005</v>
      </c>
      <c r="F60" s="6">
        <f t="shared" si="36"/>
        <v>60.959492600000004</v>
      </c>
      <c r="G60" s="6">
        <f t="shared" si="36"/>
        <v>45.598174</v>
      </c>
      <c r="H60" s="6">
        <f t="shared" si="36"/>
        <v>49.3313459</v>
      </c>
      <c r="I60" s="6">
        <f t="shared" si="36"/>
        <v>42.7324696</v>
      </c>
      <c r="J60" s="6">
        <f t="shared" si="36"/>
        <v>35.9396888</v>
      </c>
      <c r="K60" s="6">
        <f t="shared" si="36"/>
        <v>45.8573937</v>
      </c>
      <c r="L60" s="6">
        <f t="shared" si="36"/>
        <v>40.6525887</v>
      </c>
      <c r="M60" s="6">
        <f t="shared" si="36"/>
        <v>49.2660307</v>
      </c>
      <c r="N60" s="6">
        <f t="shared" si="36"/>
        <v>54.5422742</v>
      </c>
      <c r="O60" s="6">
        <f t="shared" si="36"/>
        <v>0.46537080000000003</v>
      </c>
      <c r="P60" s="6">
        <f t="shared" si="36"/>
        <v>89.8941262</v>
      </c>
      <c r="Q60" s="47"/>
      <c r="R60" s="47">
        <f t="shared" si="31"/>
        <v>573.1347567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27.51405</v>
      </c>
      <c r="F61" s="6">
        <f aca="true" t="shared" si="37" ref="F61:P61">$D61*F$7</f>
        <v>28.97002</v>
      </c>
      <c r="G61" s="6">
        <f t="shared" si="37"/>
        <v>21.669800000000002</v>
      </c>
      <c r="H61" s="6">
        <f t="shared" si="37"/>
        <v>23.44393</v>
      </c>
      <c r="I61" s="6">
        <f t="shared" si="37"/>
        <v>20.30792</v>
      </c>
      <c r="J61" s="6">
        <f t="shared" si="37"/>
        <v>17.07976</v>
      </c>
      <c r="K61" s="6">
        <f t="shared" si="37"/>
        <v>21.79299</v>
      </c>
      <c r="L61" s="6">
        <f t="shared" si="37"/>
        <v>19.319490000000002</v>
      </c>
      <c r="M61" s="6">
        <f t="shared" si="37"/>
        <v>23.41289</v>
      </c>
      <c r="N61" s="6">
        <f t="shared" si="37"/>
        <v>25.920340000000003</v>
      </c>
      <c r="O61" s="6">
        <f t="shared" si="37"/>
        <v>0.22116000000000002</v>
      </c>
      <c r="P61" s="6">
        <f t="shared" si="37"/>
        <v>42.72074</v>
      </c>
      <c r="Q61" s="47"/>
      <c r="R61" s="47">
        <f t="shared" si="31"/>
        <v>272.37309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288.4000038805</v>
      </c>
      <c r="F62" s="6">
        <f aca="true" t="shared" si="38" ref="F62:P62">(SUM(F55:F61)-($D60+$C60)*F$7)*$D62</f>
        <v>307.4557147962001</v>
      </c>
      <c r="G62" s="6">
        <f t="shared" si="38"/>
        <v>231.17287773800004</v>
      </c>
      <c r="H62" s="6">
        <f t="shared" si="38"/>
        <v>241.39788720329997</v>
      </c>
      <c r="I62" s="6">
        <f t="shared" si="38"/>
        <v>211.60562029520008</v>
      </c>
      <c r="J62" s="6">
        <f t="shared" si="38"/>
        <v>185.20468324560002</v>
      </c>
      <c r="K62" s="6">
        <f t="shared" si="38"/>
        <v>224.86334628190002</v>
      </c>
      <c r="L62" s="6">
        <f t="shared" si="38"/>
        <v>204.88846354690003</v>
      </c>
      <c r="M62" s="6">
        <f t="shared" si="38"/>
        <v>246.7031648009</v>
      </c>
      <c r="N62" s="6">
        <f t="shared" si="38"/>
        <v>272.0181963354</v>
      </c>
      <c r="O62" s="6">
        <f t="shared" si="38"/>
        <v>14.361552979599999</v>
      </c>
      <c r="P62" s="6">
        <f t="shared" si="38"/>
        <v>426.9462455594</v>
      </c>
      <c r="Q62" s="47"/>
      <c r="R62" s="47">
        <f t="shared" si="31"/>
        <v>2855.0177566629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3094.6034953805</v>
      </c>
      <c r="F67" s="52">
        <f aca="true" t="shared" si="43" ref="F67:P67">SUM(F55:F66)</f>
        <v>3287.7158033962005</v>
      </c>
      <c r="G67" s="52">
        <f t="shared" si="43"/>
        <v>2468.4710917380003</v>
      </c>
      <c r="H67" s="52">
        <f t="shared" si="43"/>
        <v>2603.2513471033</v>
      </c>
      <c r="I67" s="52">
        <f t="shared" si="43"/>
        <v>2274.3541058952005</v>
      </c>
      <c r="J67" s="52">
        <f t="shared" si="43"/>
        <v>1968.8012200456003</v>
      </c>
      <c r="K67" s="52">
        <f t="shared" si="43"/>
        <v>2423.5248419819</v>
      </c>
      <c r="L67" s="52">
        <f t="shared" si="43"/>
        <v>2191.3688542469</v>
      </c>
      <c r="M67" s="52">
        <f t="shared" si="43"/>
        <v>2643.3203175009003</v>
      </c>
      <c r="N67" s="52">
        <f t="shared" si="43"/>
        <v>2917.8546025354</v>
      </c>
      <c r="O67" s="52">
        <f t="shared" si="43"/>
        <v>118.04549177959998</v>
      </c>
      <c r="P67" s="52">
        <f t="shared" si="43"/>
        <v>4643.6604237594</v>
      </c>
      <c r="Q67" s="53"/>
      <c r="R67" s="54">
        <f>SUM(E67:P67)</f>
        <v>30634.971595362902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1989.9465750000002</v>
      </c>
      <c r="F72" s="6">
        <f t="shared" si="46"/>
        <v>2095.2492300000004</v>
      </c>
      <c r="G72" s="6">
        <f t="shared" si="46"/>
        <v>1567.2627000000002</v>
      </c>
      <c r="H72" s="6">
        <f t="shared" si="46"/>
        <v>1695.5761950000003</v>
      </c>
      <c r="I72" s="6">
        <f t="shared" si="46"/>
        <v>1468.7650800000001</v>
      </c>
      <c r="J72" s="6">
        <f t="shared" si="46"/>
        <v>1235.28924</v>
      </c>
      <c r="K72" s="6">
        <f t="shared" si="46"/>
        <v>1576.1723850000003</v>
      </c>
      <c r="L72" s="6">
        <f t="shared" si="46"/>
        <v>1397.2771350000003</v>
      </c>
      <c r="M72" s="6">
        <f t="shared" si="46"/>
        <v>1693.331235</v>
      </c>
      <c r="N72" s="6">
        <f t="shared" si="46"/>
        <v>1874.6819100000002</v>
      </c>
      <c r="O72" s="6">
        <f t="shared" si="46"/>
        <v>15.995340000000002</v>
      </c>
      <c r="P72" s="6">
        <f t="shared" si="46"/>
        <v>3089.7665100000004</v>
      </c>
      <c r="Q72" s="47"/>
      <c r="R72" s="47">
        <f t="shared" si="45"/>
        <v>19699.313535000005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357.0966</v>
      </c>
      <c r="F73" s="6">
        <f t="shared" si="47"/>
        <v>403.04519999999997</v>
      </c>
      <c r="G73" s="6">
        <f t="shared" si="47"/>
        <v>289.44</v>
      </c>
      <c r="H73" s="6">
        <f t="shared" si="47"/>
        <v>266.6466</v>
      </c>
      <c r="I73" s="6">
        <f t="shared" si="47"/>
        <v>235.8936</v>
      </c>
      <c r="J73" s="6">
        <f t="shared" si="47"/>
        <v>230.10479999999998</v>
      </c>
      <c r="K73" s="6">
        <f t="shared" si="47"/>
        <v>245.30039999999997</v>
      </c>
      <c r="L73" s="6">
        <f t="shared" si="47"/>
        <v>242.406</v>
      </c>
      <c r="M73" s="6">
        <f t="shared" si="47"/>
        <v>300.294</v>
      </c>
      <c r="N73" s="6">
        <f t="shared" si="47"/>
        <v>333.9414</v>
      </c>
      <c r="O73" s="6">
        <f t="shared" si="47"/>
        <v>0</v>
      </c>
      <c r="P73" s="6">
        <f t="shared" si="47"/>
        <v>470.34</v>
      </c>
      <c r="Q73" s="47"/>
      <c r="R73" s="47">
        <f t="shared" si="45"/>
        <v>3374.5086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57.895801500000005</v>
      </c>
      <c r="F75" s="6">
        <f t="shared" si="49"/>
        <v>60.959492600000004</v>
      </c>
      <c r="G75" s="6">
        <f t="shared" si="49"/>
        <v>45.598174</v>
      </c>
      <c r="H75" s="6">
        <f t="shared" si="49"/>
        <v>49.3313459</v>
      </c>
      <c r="I75" s="6">
        <f t="shared" si="49"/>
        <v>42.7324696</v>
      </c>
      <c r="J75" s="6">
        <f t="shared" si="49"/>
        <v>35.9396888</v>
      </c>
      <c r="K75" s="6">
        <f t="shared" si="49"/>
        <v>45.8573937</v>
      </c>
      <c r="L75" s="6">
        <f t="shared" si="49"/>
        <v>40.6525887</v>
      </c>
      <c r="M75" s="6">
        <f t="shared" si="49"/>
        <v>49.2660307</v>
      </c>
      <c r="N75" s="6">
        <f t="shared" si="49"/>
        <v>54.5422742</v>
      </c>
      <c r="O75" s="6">
        <f t="shared" si="49"/>
        <v>0.46537080000000003</v>
      </c>
      <c r="P75" s="6">
        <f t="shared" si="49"/>
        <v>89.8941262</v>
      </c>
      <c r="Q75" s="47"/>
      <c r="R75" s="47">
        <f t="shared" si="45"/>
        <v>573.1347567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27.967889999999997</v>
      </c>
      <c r="F76" s="6">
        <f t="shared" si="50"/>
        <v>29.447875999999997</v>
      </c>
      <c r="G76" s="6">
        <f t="shared" si="50"/>
        <v>22.02724</v>
      </c>
      <c r="H76" s="6">
        <f t="shared" si="50"/>
        <v>23.830633999999996</v>
      </c>
      <c r="I76" s="6">
        <f t="shared" si="50"/>
        <v>20.642895999999997</v>
      </c>
      <c r="J76" s="6">
        <f t="shared" si="50"/>
        <v>17.361487999999998</v>
      </c>
      <c r="K76" s="6">
        <f t="shared" si="50"/>
        <v>22.152461999999996</v>
      </c>
      <c r="L76" s="6">
        <f t="shared" si="50"/>
        <v>19.638161999999998</v>
      </c>
      <c r="M76" s="6">
        <f t="shared" si="50"/>
        <v>23.799082</v>
      </c>
      <c r="N76" s="6">
        <f t="shared" si="50"/>
        <v>26.347891999999998</v>
      </c>
      <c r="O76" s="6">
        <f t="shared" si="50"/>
        <v>0.22480799999999998</v>
      </c>
      <c r="P76" s="6">
        <f t="shared" si="50"/>
        <v>43.425411999999994</v>
      </c>
      <c r="Q76" s="47"/>
      <c r="R76" s="47">
        <f t="shared" si="45"/>
        <v>276.86584199999993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33.52743</v>
      </c>
      <c r="F77" s="6">
        <f aca="true" t="shared" si="51" ref="F77:P77">$D77*F$7</f>
        <v>35.301612000000006</v>
      </c>
      <c r="G77" s="6">
        <f t="shared" si="51"/>
        <v>26.405880000000003</v>
      </c>
      <c r="H77" s="6">
        <f t="shared" si="51"/>
        <v>28.567758</v>
      </c>
      <c r="I77" s="6">
        <f t="shared" si="51"/>
        <v>24.746352</v>
      </c>
      <c r="J77" s="6">
        <f t="shared" si="51"/>
        <v>20.812656</v>
      </c>
      <c r="K77" s="6">
        <f t="shared" si="51"/>
        <v>26.555994000000002</v>
      </c>
      <c r="L77" s="6">
        <f t="shared" si="51"/>
        <v>23.541894000000003</v>
      </c>
      <c r="M77" s="6">
        <f t="shared" si="51"/>
        <v>28.529934000000004</v>
      </c>
      <c r="N77" s="6">
        <f t="shared" si="51"/>
        <v>31.585404000000004</v>
      </c>
      <c r="O77" s="6">
        <f t="shared" si="51"/>
        <v>0.269496</v>
      </c>
      <c r="P77" s="6">
        <f t="shared" si="51"/>
        <v>52.057644</v>
      </c>
      <c r="Q77" s="47"/>
      <c r="R77" s="47">
        <f t="shared" si="45"/>
        <v>331.902054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39.42735</v>
      </c>
      <c r="F80" s="6">
        <f t="shared" si="54"/>
        <v>41.51374</v>
      </c>
      <c r="G80" s="6">
        <f t="shared" si="54"/>
        <v>31.052599999999998</v>
      </c>
      <c r="H80" s="6">
        <f t="shared" si="54"/>
        <v>33.59491</v>
      </c>
      <c r="I80" s="6">
        <f t="shared" si="54"/>
        <v>29.101039999999998</v>
      </c>
      <c r="J80" s="6">
        <f t="shared" si="54"/>
        <v>24.47512</v>
      </c>
      <c r="K80" s="6">
        <f t="shared" si="54"/>
        <v>31.229129999999998</v>
      </c>
      <c r="L80" s="6">
        <f t="shared" si="54"/>
        <v>27.68463</v>
      </c>
      <c r="M80" s="6">
        <f t="shared" si="54"/>
        <v>33.55043</v>
      </c>
      <c r="N80" s="6">
        <f t="shared" si="54"/>
        <v>37.14358</v>
      </c>
      <c r="O80" s="6">
        <f t="shared" si="54"/>
        <v>0.31692</v>
      </c>
      <c r="P80" s="6">
        <f t="shared" si="54"/>
        <v>61.218379999999996</v>
      </c>
      <c r="Q80" s="47"/>
      <c r="R80" s="47">
        <f t="shared" si="45"/>
        <v>390.30782999999997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44.415</v>
      </c>
      <c r="F81" s="6">
        <f t="shared" si="55"/>
        <v>50.129999999999995</v>
      </c>
      <c r="G81" s="6">
        <f t="shared" si="55"/>
        <v>36</v>
      </c>
      <c r="H81" s="6">
        <f t="shared" si="55"/>
        <v>33.165</v>
      </c>
      <c r="I81" s="6">
        <f t="shared" si="55"/>
        <v>29.340000000000003</v>
      </c>
      <c r="J81" s="6">
        <f t="shared" si="55"/>
        <v>28.619999999999997</v>
      </c>
      <c r="K81" s="6">
        <f t="shared" si="55"/>
        <v>30.509999999999998</v>
      </c>
      <c r="L81" s="6">
        <f t="shared" si="55"/>
        <v>30.150000000000002</v>
      </c>
      <c r="M81" s="6">
        <f t="shared" si="55"/>
        <v>37.35</v>
      </c>
      <c r="N81" s="6">
        <f t="shared" si="55"/>
        <v>41.535</v>
      </c>
      <c r="O81" s="6">
        <f t="shared" si="55"/>
        <v>0</v>
      </c>
      <c r="P81" s="6">
        <f t="shared" si="55"/>
        <v>58.5</v>
      </c>
      <c r="Q81" s="47"/>
      <c r="R81" s="47">
        <f t="shared" si="45"/>
        <v>419.71500000000003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110.38809394896496</v>
      </c>
      <c r="F82" s="6">
        <f t="shared" si="56"/>
        <v>117.84370004362604</v>
      </c>
      <c r="G82" s="6">
        <f t="shared" si="56"/>
        <v>88.64130611874</v>
      </c>
      <c r="H82" s="6">
        <f t="shared" si="56"/>
        <v>92.20775186860901</v>
      </c>
      <c r="I82" s="6">
        <f t="shared" si="56"/>
        <v>80.927327016696</v>
      </c>
      <c r="J82" s="6">
        <f t="shared" si="56"/>
        <v>71.12735704088801</v>
      </c>
      <c r="K82" s="6">
        <f t="shared" si="56"/>
        <v>85.90803465058704</v>
      </c>
      <c r="L82" s="6">
        <f t="shared" si="56"/>
        <v>78.50699219323701</v>
      </c>
      <c r="M82" s="6">
        <f t="shared" si="56"/>
        <v>94.47426524465699</v>
      </c>
      <c r="N82" s="6">
        <f t="shared" si="56"/>
        <v>104.12821360664199</v>
      </c>
      <c r="O82" s="6">
        <f t="shared" si="56"/>
        <v>5.948202533108</v>
      </c>
      <c r="P82" s="6">
        <f t="shared" si="56"/>
        <v>162.574309600362</v>
      </c>
      <c r="Q82" s="47"/>
      <c r="R82" s="47">
        <f t="shared" si="45"/>
        <v>1092.675553866117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173.70039786081495</v>
      </c>
      <c r="F83" s="6">
        <f t="shared" si="57"/>
        <v>185.4321136519661</v>
      </c>
      <c r="G83" s="6">
        <f t="shared" si="57"/>
        <v>139.48089498534003</v>
      </c>
      <c r="H83" s="6">
        <f t="shared" si="57"/>
        <v>145.092850256419</v>
      </c>
      <c r="I83" s="6">
        <f t="shared" si="57"/>
        <v>127.342618191336</v>
      </c>
      <c r="J83" s="6">
        <f t="shared" si="57"/>
        <v>111.92194533680804</v>
      </c>
      <c r="K83" s="6">
        <f t="shared" si="57"/>
        <v>135.1799751624171</v>
      </c>
      <c r="L83" s="6">
        <f t="shared" si="57"/>
        <v>123.53411759356702</v>
      </c>
      <c r="M83" s="6">
        <f t="shared" si="57"/>
        <v>148.659306212787</v>
      </c>
      <c r="N83" s="6">
        <f t="shared" si="57"/>
        <v>163.850207798422</v>
      </c>
      <c r="O83" s="6">
        <f t="shared" si="57"/>
        <v>9.359751668828</v>
      </c>
      <c r="P83" s="6">
        <f t="shared" si="57"/>
        <v>255.81764526694204</v>
      </c>
      <c r="R83" s="47">
        <f t="shared" si="45"/>
        <v>1719.3718239856473</v>
      </c>
      <c r="S83" s="20"/>
    </row>
    <row r="84" spans="1:18" ht="15.75" thickBot="1">
      <c r="A84" s="40"/>
      <c r="D84" s="9" t="s">
        <v>24</v>
      </c>
      <c r="E84" s="52">
        <f>SUM(E71:E83)</f>
        <v>2919.5151383097796</v>
      </c>
      <c r="F84" s="52">
        <f aca="true" t="shared" si="58" ref="F84:P84">SUM(F71:F83)</f>
        <v>3104.072964295593</v>
      </c>
      <c r="G84" s="52">
        <f t="shared" si="58"/>
        <v>2331.05879510408</v>
      </c>
      <c r="H84" s="52">
        <f t="shared" si="58"/>
        <v>2453.163045025028</v>
      </c>
      <c r="I84" s="52">
        <f t="shared" si="58"/>
        <v>2144.641382808032</v>
      </c>
      <c r="J84" s="52">
        <f t="shared" si="58"/>
        <v>1860.8022951776964</v>
      </c>
      <c r="K84" s="52">
        <f t="shared" si="58"/>
        <v>2284.015774513005</v>
      </c>
      <c r="L84" s="52">
        <f t="shared" si="58"/>
        <v>2068.541519486804</v>
      </c>
      <c r="M84" s="52">
        <f t="shared" si="58"/>
        <v>2494.4042831574443</v>
      </c>
      <c r="N84" s="52">
        <f t="shared" si="58"/>
        <v>2752.905881605064</v>
      </c>
      <c r="O84" s="52">
        <f t="shared" si="58"/>
        <v>117.729889001936</v>
      </c>
      <c r="P84" s="52">
        <f t="shared" si="58"/>
        <v>4368.744027067304</v>
      </c>
      <c r="Q84" s="53"/>
      <c r="R84" s="54">
        <f>SUM(E84:P84)</f>
        <v>28899.594995551764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31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73" t="s">
        <v>89</v>
      </c>
      <c r="L1" s="73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108000</v>
      </c>
      <c r="F7" s="75">
        <v>99200</v>
      </c>
      <c r="G7" s="75">
        <v>77600</v>
      </c>
      <c r="H7" s="75">
        <v>78000</v>
      </c>
      <c r="I7" s="75">
        <v>80800</v>
      </c>
      <c r="J7" s="75">
        <v>65600</v>
      </c>
      <c r="K7" s="75">
        <v>71600</v>
      </c>
      <c r="L7" s="75">
        <v>72800</v>
      </c>
      <c r="M7" s="75">
        <v>71200</v>
      </c>
      <c r="N7" s="75">
        <v>85200</v>
      </c>
      <c r="O7" s="75">
        <v>65600</v>
      </c>
      <c r="P7" s="75">
        <v>68000</v>
      </c>
      <c r="R7" s="4">
        <f>SUM(E7:P7)</f>
        <v>943600</v>
      </c>
      <c r="S7" s="74">
        <f>R7/(8760*MAX(E10:P10))</f>
        <v>0.256468797564688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"/>
      <c r="W9" s="15" t="s">
        <v>45</v>
      </c>
      <c r="X9" s="20"/>
    </row>
    <row r="10" spans="2:24" ht="15">
      <c r="B10" s="34">
        <f>MAX(E10:P10)</f>
        <v>420</v>
      </c>
      <c r="C10" s="34"/>
      <c r="D10" s="10" t="s">
        <v>5</v>
      </c>
      <c r="E10" s="76">
        <v>420</v>
      </c>
      <c r="F10" s="76">
        <v>420</v>
      </c>
      <c r="G10" s="76">
        <v>420</v>
      </c>
      <c r="H10" s="76">
        <v>420</v>
      </c>
      <c r="I10" s="76">
        <v>420</v>
      </c>
      <c r="J10" s="76">
        <v>420</v>
      </c>
      <c r="K10" s="76">
        <v>420</v>
      </c>
      <c r="L10" s="76">
        <v>420</v>
      </c>
      <c r="M10" s="76">
        <v>420</v>
      </c>
      <c r="N10" s="76">
        <v>420</v>
      </c>
      <c r="O10" s="76">
        <v>420</v>
      </c>
      <c r="P10" s="76">
        <v>420</v>
      </c>
      <c r="R10" s="4">
        <f>SUM(E10:P10)</f>
        <v>5040</v>
      </c>
      <c r="W10" s="15" t="s">
        <v>46</v>
      </c>
      <c r="X10" s="20"/>
    </row>
    <row r="11" spans="2:24" ht="15">
      <c r="B11" s="34">
        <f>MAX(E11:P11)</f>
        <v>0</v>
      </c>
      <c r="C11" s="34"/>
      <c r="D11" s="10" t="s">
        <v>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4">
        <f>SUM(E11:P11)</f>
        <v>0</v>
      </c>
      <c r="W11" s="15" t="s">
        <v>47</v>
      </c>
      <c r="X11" s="20"/>
    </row>
    <row r="12" spans="2:24" ht="15">
      <c r="B12" s="34">
        <f>MAX(E12:P12)</f>
        <v>0</v>
      </c>
      <c r="C12" s="34"/>
      <c r="D12" s="10" t="s">
        <v>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R12" s="4">
        <f>SUM(E12:P12)</f>
        <v>0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Current</v>
      </c>
      <c r="D15" s="45" t="s">
        <v>40</v>
      </c>
      <c r="E15" s="25">
        <f>IF($D$15="Rate 1",E32,IF($D$15="Rate 2",E46,IF($D$15="Rate 3",#REF!,IF($D$15="Rate 4",#REF!,IF($D$15="Rate 5",E67,IF($D$15="Rate 6",E84,IF($D$15="Rate 7",#REF!,IF($D$15="Rate 8",#REF!))))))))</f>
        <v>0</v>
      </c>
      <c r="F15" s="25">
        <f>IF($D$15="Rate 1",F32,IF($D$15="Rate 2",F46,IF($D$15="Rate 3",#REF!,IF($D$15="Rate 4",#REF!,IF($D$15="Rate 5",F67,IF($D$15="Rate 6",F84,IF($D$15="Rate 7",#REF!,IF($D$15="Rate 8",#REF!))))))))</f>
        <v>0</v>
      </c>
      <c r="G15" s="25">
        <f>IF($D$15="Rate 1",G32,IF($D$15="Rate 2",G46,IF($D$15="Rate 3",#REF!,IF($D$15="Rate 4",#REF!,IF($D$15="Rate 5",G67,IF($D$15="Rate 6",G84,IF($D$15="Rate 7",#REF!,IF($D$15="Rate 8",#REF!))))))))</f>
        <v>0</v>
      </c>
      <c r="H15" s="25">
        <f>IF($D$15="Rate 1",H32,IF($D$15="Rate 2",H46,IF($D$15="Rate 3",#REF!,IF($D$15="Rate 4",#REF!,IF($D$15="Rate 5",H67,IF($D$15="Rate 6",H84,IF($D$15="Rate 7",#REF!,IF($D$15="Rate 8",#REF!))))))))</f>
        <v>0</v>
      </c>
      <c r="I15" s="25">
        <f>IF($D$15="Rate 1",I32,IF($D$15="Rate 2",I46,IF($D$15="Rate 3",#REF!,IF($D$15="Rate 4",#REF!,IF($D$15="Rate 5",I67,IF($D$15="Rate 6",I84,IF($D$15="Rate 7",#REF!,IF($D$15="Rate 8",#REF!))))))))</f>
        <v>0</v>
      </c>
      <c r="J15" s="25">
        <f>IF($D$15="Rate 1",J32,IF($D$15="Rate 2",J46,IF($D$15="Rate 3",#REF!,IF($D$15="Rate 4",#REF!,IF($D$15="Rate 5",J67,IF($D$15="Rate 6",J84,IF($D$15="Rate 7",#REF!,IF($D$15="Rate 8",#REF!))))))))</f>
        <v>0</v>
      </c>
      <c r="K15" s="25">
        <f>IF($D$15="Rate 1",K32,IF($D$15="Rate 2",K46,IF($D$15="Rate 3",#REF!,IF($D$15="Rate 4",#REF!,IF($D$15="Rate 5",K67,IF($D$15="Rate 6",K84,IF($D$15="Rate 7",#REF!,IF($D$15="Rate 8",#REF!))))))))</f>
        <v>0</v>
      </c>
      <c r="L15" s="25">
        <f>IF($D$15="Rate 1",L32,IF($D$15="Rate 2",L46,IF($D$15="Rate 3",#REF!,IF($D$15="Rate 4",#REF!,IF($D$15="Rate 5",L67,IF($D$15="Rate 6",L84,IF($D$15="Rate 7",#REF!,IF($D$15="Rate 8",#REF!))))))))</f>
        <v>0</v>
      </c>
      <c r="M15" s="25">
        <f>IF($D$15="Rate 1",M32,IF($D$15="Rate 2",M46,IF($D$15="Rate 3",#REF!,IF($D$15="Rate 4",#REF!,IF($D$15="Rate 5",M67,IF($D$15="Rate 6",M84,IF($D$15="Rate 7",#REF!,IF($D$15="Rate 8",#REF!))))))))</f>
        <v>0</v>
      </c>
      <c r="N15" s="25">
        <f>IF($D$15="Rate 1",N32,IF($D$15="Rate 2",N46,IF($D$15="Rate 3",#REF!,IF($D$15="Rate 4",#REF!,IF($D$15="Rate 5",N67,IF($D$15="Rate 6",N84,IF($D$15="Rate 7",#REF!,IF($D$15="Rate 8",#REF!))))))))</f>
        <v>0</v>
      </c>
      <c r="O15" s="25">
        <f>IF($D$15="Rate 1",O32,IF($D$15="Rate 2",O46,IF($D$15="Rate 3",#REF!,IF($D$15="Rate 4",#REF!,IF($D$15="Rate 5",O67,IF($D$15="Rate 6",O84,IF($D$15="Rate 7",#REF!,IF($D$15="Rate 8",#REF!))))))))</f>
        <v>0</v>
      </c>
      <c r="P15" s="25">
        <f>IF($D$15="Rate 1",P32,IF($D$15="Rate 2",P46,IF($D$15="Rate 3",#REF!,IF($D$15="Rate 4",#REF!,IF($D$15="Rate 5",P67,IF($D$15="Rate 6",P84,IF($D$15="Rate 7",#REF!,IF($D$15="Rate 8",#REF!))))))))</f>
        <v>0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0</v>
      </c>
      <c r="X15" s="20"/>
    </row>
    <row r="16" spans="1:24" ht="15" customHeight="1" thickBot="1">
      <c r="A16" s="85"/>
      <c r="B16" s="24" t="s">
        <v>28</v>
      </c>
      <c r="C16" s="44">
        <f>IF($D$16="Rate 1",B21,IF($D$16="Rate 2",B34,IF($D$16="Rate 3",B49,IF($D$16="Rate 4",#REF!,IF($D$16="Rate 5",B54,IF($D$16="Rate 6",B70,IF($D$16="Rate 7",#REF!,IF($D$16="Rate 8",#REF!))))))))</f>
        <v>0</v>
      </c>
      <c r="D16" s="45" t="s">
        <v>41</v>
      </c>
      <c r="E16" s="26">
        <f>IF($D$16="Rate 1",E32,IF($D$16="Rate 2",E46,IF($D$16="Rate 3",#REF!,IF($D$16="Rate 4",#REF!,IF($D$16="Rate 5",E67,IF($D$16="Rate 6",E84,IF($D$16="Rate 7",#REF!,IF($D$16="Rate 8",#REF!))))))))</f>
        <v>0</v>
      </c>
      <c r="F16" s="26">
        <f>IF($D$16="Rate 1",F32,IF($D$16="Rate 2",F46,IF($D$16="Rate 3",#REF!,IF($D$16="Rate 4",#REF!,IF($D$16="Rate 5",F67,IF($D$16="Rate 6",F84,IF($D$16="Rate 7",#REF!,IF($D$16="Rate 8",#REF!))))))))</f>
        <v>0</v>
      </c>
      <c r="G16" s="26">
        <f>IF($D$16="Rate 1",G32,IF($D$16="Rate 2",G46,IF($D$16="Rate 3",#REF!,IF($D$16="Rate 4",#REF!,IF($D$16="Rate 5",G67,IF($D$16="Rate 6",G84,IF($D$16="Rate 7",#REF!,IF($D$16="Rate 8",#REF!))))))))</f>
        <v>0</v>
      </c>
      <c r="H16" s="26">
        <f>IF($D$16="Rate 1",H32,IF($D$16="Rate 2",H46,IF($D$16="Rate 3",#REF!,IF($D$16="Rate 4",#REF!,IF($D$16="Rate 5",H67,IF($D$16="Rate 6",H84,IF($D$16="Rate 7",#REF!,IF($D$16="Rate 8",#REF!))))))))</f>
        <v>0</v>
      </c>
      <c r="I16" s="26">
        <f>IF($D$16="Rate 1",I32,IF($D$16="Rate 2",I46,IF($D$16="Rate 3",#REF!,IF($D$16="Rate 4",#REF!,IF($D$16="Rate 5",I67,IF($D$16="Rate 6",I84,IF($D$16="Rate 7",#REF!,IF($D$16="Rate 8",#REF!))))))))</f>
        <v>0</v>
      </c>
      <c r="J16" s="26">
        <f>IF($D$16="Rate 1",J32,IF($D$16="Rate 2",J46,IF($D$16="Rate 3",#REF!,IF($D$16="Rate 4",#REF!,IF($D$16="Rate 5",J67,IF($D$16="Rate 6",J84,IF($D$16="Rate 7",#REF!,IF($D$16="Rate 8",#REF!))))))))</f>
        <v>0</v>
      </c>
      <c r="K16" s="26">
        <f>IF($D$16="Rate 1",K32,IF($D$16="Rate 2",K46,IF($D$16="Rate 3",#REF!,IF($D$16="Rate 4",#REF!,IF($D$16="Rate 5",K67,IF($D$16="Rate 6",K84,IF($D$16="Rate 7",#REF!,IF($D$16="Rate 8",#REF!))))))))</f>
        <v>0</v>
      </c>
      <c r="L16" s="26">
        <f>IF($D$16="Rate 1",L32,IF($D$16="Rate 2",L46,IF($D$16="Rate 3",#REF!,IF($D$16="Rate 4",#REF!,IF($D$16="Rate 5",L67,IF($D$16="Rate 6",L84,IF($D$16="Rate 7",#REF!,IF($D$16="Rate 8",#REF!))))))))</f>
        <v>0</v>
      </c>
      <c r="M16" s="26">
        <f>IF($D$16="Rate 1",M32,IF($D$16="Rate 2",M46,IF($D$16="Rate 3",#REF!,IF($D$16="Rate 4",#REF!,IF($D$16="Rate 5",M67,IF($D$16="Rate 6",M84,IF($D$16="Rate 7",#REF!,IF($D$16="Rate 8",#REF!))))))))</f>
        <v>0</v>
      </c>
      <c r="N16" s="26">
        <f>IF($D$16="Rate 1",N32,IF($D$16="Rate 2",N46,IF($D$16="Rate 3",#REF!,IF($D$16="Rate 4",#REF!,IF($D$16="Rate 5",N67,IF($D$16="Rate 6",N84,IF($D$16="Rate 7",#REF!,IF($D$16="Rate 8",#REF!))))))))</f>
        <v>0</v>
      </c>
      <c r="O16" s="26">
        <f>IF($D$16="Rate 1",O32,IF($D$16="Rate 2",O46,IF($D$16="Rate 3",#REF!,IF($D$16="Rate 4",#REF!,IF($D$16="Rate 5",O67,IF($D$16="Rate 6",O84,IF($D$16="Rate 7",#REF!,IF($D$16="Rate 8",#REF!))))))))</f>
        <v>0</v>
      </c>
      <c r="P16" s="26">
        <f>IF($D$16="Rate 1",P32,IF($D$16="Rate 2",P46,IF($D$16="Rate 3",#REF!,IF($D$16="Rate 4",#REF!,IF($D$16="Rate 5",P67,IF($D$16="Rate 6",P84,IF($D$16="Rate 7",#REF!,IF($D$16="Rate 8",#REF!))))))))</f>
        <v>0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0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0</v>
      </c>
      <c r="F17" s="28">
        <f aca="true" t="shared" si="0" ref="F17:R17">F15-F16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0</v>
      </c>
      <c r="P17" s="29">
        <f t="shared" si="0"/>
        <v>0</v>
      </c>
      <c r="Q17" s="16"/>
      <c r="R17" s="28">
        <f t="shared" si="0"/>
        <v>0</v>
      </c>
      <c r="X17" s="20"/>
    </row>
    <row r="18" spans="2:24" ht="15" customHeight="1" thickBot="1">
      <c r="B18" s="13"/>
      <c r="C18" s="13"/>
      <c r="R18" s="64" t="e">
        <f>R17/R15</f>
        <v>#DIV/0!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8418.6</v>
      </c>
      <c r="F56" s="6">
        <f t="shared" si="32"/>
        <v>7732.64</v>
      </c>
      <c r="G56" s="6">
        <f t="shared" si="32"/>
        <v>6048.92</v>
      </c>
      <c r="H56" s="6">
        <f t="shared" si="32"/>
        <v>6080.1</v>
      </c>
      <c r="I56" s="6">
        <f t="shared" si="32"/>
        <v>6298.360000000001</v>
      </c>
      <c r="J56" s="6">
        <f t="shared" si="32"/>
        <v>5113.52</v>
      </c>
      <c r="K56" s="6">
        <f t="shared" si="32"/>
        <v>5581.22</v>
      </c>
      <c r="L56" s="6">
        <f t="shared" si="32"/>
        <v>5674.76</v>
      </c>
      <c r="M56" s="6">
        <f t="shared" si="32"/>
        <v>5550.04</v>
      </c>
      <c r="N56" s="6">
        <f t="shared" si="32"/>
        <v>6641.34</v>
      </c>
      <c r="O56" s="6">
        <f t="shared" si="32"/>
        <v>5113.52</v>
      </c>
      <c r="P56" s="6">
        <f t="shared" si="32"/>
        <v>5300.6</v>
      </c>
      <c r="Q56" s="47"/>
      <c r="R56" s="47">
        <f t="shared" si="31"/>
        <v>73553.62000000001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1688.3999999999999</v>
      </c>
      <c r="F57" s="6">
        <f t="shared" si="33"/>
        <v>1688.3999999999999</v>
      </c>
      <c r="G57" s="6">
        <f t="shared" si="33"/>
        <v>1688.3999999999999</v>
      </c>
      <c r="H57" s="6">
        <f t="shared" si="33"/>
        <v>1688.3999999999999</v>
      </c>
      <c r="I57" s="6">
        <f t="shared" si="33"/>
        <v>1688.3999999999999</v>
      </c>
      <c r="J57" s="6">
        <f t="shared" si="33"/>
        <v>1688.3999999999999</v>
      </c>
      <c r="K57" s="6">
        <f t="shared" si="33"/>
        <v>1688.3999999999999</v>
      </c>
      <c r="L57" s="6">
        <f t="shared" si="33"/>
        <v>1688.3999999999999</v>
      </c>
      <c r="M57" s="6">
        <f t="shared" si="33"/>
        <v>1688.3999999999999</v>
      </c>
      <c r="N57" s="6">
        <f t="shared" si="33"/>
        <v>1688.3999999999999</v>
      </c>
      <c r="O57" s="6">
        <f t="shared" si="33"/>
        <v>1688.3999999999999</v>
      </c>
      <c r="P57" s="6">
        <f t="shared" si="33"/>
        <v>1688.3999999999999</v>
      </c>
      <c r="Q57" s="47"/>
      <c r="R57" s="47">
        <f t="shared" si="31"/>
        <v>20260.800000000003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106.48799999999999</v>
      </c>
      <c r="F59" s="6">
        <f t="shared" si="35"/>
        <v>97.81119999999999</v>
      </c>
      <c r="G59" s="6">
        <f t="shared" si="35"/>
        <v>76.5136</v>
      </c>
      <c r="H59" s="6">
        <f t="shared" si="35"/>
        <v>76.90799999999999</v>
      </c>
      <c r="I59" s="6">
        <f t="shared" si="35"/>
        <v>79.66879999999999</v>
      </c>
      <c r="J59" s="6">
        <f t="shared" si="35"/>
        <v>64.68159999999999</v>
      </c>
      <c r="K59" s="6">
        <f t="shared" si="35"/>
        <v>70.59759999999999</v>
      </c>
      <c r="L59" s="6">
        <f t="shared" si="35"/>
        <v>71.7808</v>
      </c>
      <c r="M59" s="6">
        <f t="shared" si="35"/>
        <v>70.2032</v>
      </c>
      <c r="N59" s="6">
        <f t="shared" si="35"/>
        <v>84.0072</v>
      </c>
      <c r="O59" s="6">
        <f t="shared" si="35"/>
        <v>64.68159999999999</v>
      </c>
      <c r="P59" s="6">
        <f t="shared" si="35"/>
        <v>67.04799999999999</v>
      </c>
      <c r="Q59" s="47"/>
      <c r="R59" s="47">
        <f t="shared" si="31"/>
        <v>930.3896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220.43880000000001</v>
      </c>
      <c r="F60" s="6">
        <f t="shared" si="36"/>
        <v>202.47712</v>
      </c>
      <c r="G60" s="6">
        <f t="shared" si="36"/>
        <v>158.38936</v>
      </c>
      <c r="H60" s="6">
        <f t="shared" si="36"/>
        <v>159.2058</v>
      </c>
      <c r="I60" s="6">
        <f t="shared" si="36"/>
        <v>164.92088</v>
      </c>
      <c r="J60" s="6">
        <f t="shared" si="36"/>
        <v>133.89616</v>
      </c>
      <c r="K60" s="6">
        <f t="shared" si="36"/>
        <v>146.14276</v>
      </c>
      <c r="L60" s="6">
        <f t="shared" si="36"/>
        <v>148.59208</v>
      </c>
      <c r="M60" s="6">
        <f t="shared" si="36"/>
        <v>145.32632</v>
      </c>
      <c r="N60" s="6">
        <f t="shared" si="36"/>
        <v>173.90172</v>
      </c>
      <c r="O60" s="6">
        <f t="shared" si="36"/>
        <v>133.89616</v>
      </c>
      <c r="P60" s="6">
        <f t="shared" si="36"/>
        <v>138.7948</v>
      </c>
      <c r="Q60" s="47"/>
      <c r="R60" s="47">
        <f t="shared" si="31"/>
        <v>1925.9819600000005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104.76</v>
      </c>
      <c r="F61" s="6">
        <f aca="true" t="shared" si="37" ref="F61:P61">$D61*F$7</f>
        <v>96.224</v>
      </c>
      <c r="G61" s="6">
        <f t="shared" si="37"/>
        <v>75.272</v>
      </c>
      <c r="H61" s="6">
        <f t="shared" si="37"/>
        <v>75.66000000000001</v>
      </c>
      <c r="I61" s="6">
        <f t="shared" si="37"/>
        <v>78.376</v>
      </c>
      <c r="J61" s="6">
        <f t="shared" si="37"/>
        <v>63.632000000000005</v>
      </c>
      <c r="K61" s="6">
        <f t="shared" si="37"/>
        <v>69.452</v>
      </c>
      <c r="L61" s="6">
        <f t="shared" si="37"/>
        <v>70.616</v>
      </c>
      <c r="M61" s="6">
        <f t="shared" si="37"/>
        <v>69.06400000000001</v>
      </c>
      <c r="N61" s="6">
        <f t="shared" si="37"/>
        <v>82.644</v>
      </c>
      <c r="O61" s="6">
        <f t="shared" si="37"/>
        <v>63.632000000000005</v>
      </c>
      <c r="P61" s="6">
        <f t="shared" si="37"/>
        <v>65.96000000000001</v>
      </c>
      <c r="Q61" s="47"/>
      <c r="R61" s="47">
        <f t="shared" si="31"/>
        <v>915.2919999999999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1089.0363255999998</v>
      </c>
      <c r="F62" s="6">
        <f aca="true" t="shared" si="38" ref="F62:P62">(SUM(F55:F61)-($D60+$C60)*F$7)*$D62</f>
        <v>1021.7509474400001</v>
      </c>
      <c r="G62" s="6">
        <f t="shared" si="38"/>
        <v>856.59592832</v>
      </c>
      <c r="H62" s="6">
        <f t="shared" si="38"/>
        <v>859.6543546</v>
      </c>
      <c r="I62" s="6">
        <f t="shared" si="38"/>
        <v>881.06333856</v>
      </c>
      <c r="J62" s="6">
        <f t="shared" si="38"/>
        <v>764.8431399199999</v>
      </c>
      <c r="K62" s="6">
        <f t="shared" si="38"/>
        <v>810.7195341199999</v>
      </c>
      <c r="L62" s="6">
        <f t="shared" si="38"/>
        <v>819.89481296</v>
      </c>
      <c r="M62" s="6">
        <f t="shared" si="38"/>
        <v>807.66110784</v>
      </c>
      <c r="N62" s="6">
        <f t="shared" si="38"/>
        <v>914.70602764</v>
      </c>
      <c r="O62" s="6">
        <f t="shared" si="38"/>
        <v>764.8431399199999</v>
      </c>
      <c r="P62" s="6">
        <f t="shared" si="38"/>
        <v>783.1936975999998</v>
      </c>
      <c r="Q62" s="47"/>
      <c r="R62" s="47">
        <f t="shared" si="31"/>
        <v>10373.96235452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11712.7231256</v>
      </c>
      <c r="F67" s="52">
        <f aca="true" t="shared" si="43" ref="F67:P67">SUM(F55:F66)</f>
        <v>10924.30326744</v>
      </c>
      <c r="G67" s="52">
        <f t="shared" si="43"/>
        <v>8989.090888319999</v>
      </c>
      <c r="H67" s="52">
        <f t="shared" si="43"/>
        <v>9024.9281546</v>
      </c>
      <c r="I67" s="52">
        <f t="shared" si="43"/>
        <v>9275.78901856</v>
      </c>
      <c r="J67" s="52">
        <f t="shared" si="43"/>
        <v>7913.97289992</v>
      </c>
      <c r="K67" s="52">
        <f t="shared" si="43"/>
        <v>8451.53189412</v>
      </c>
      <c r="L67" s="52">
        <f t="shared" si="43"/>
        <v>8559.04369296</v>
      </c>
      <c r="M67" s="52">
        <f t="shared" si="43"/>
        <v>8415.69462784</v>
      </c>
      <c r="N67" s="52">
        <f t="shared" si="43"/>
        <v>9669.99894764</v>
      </c>
      <c r="O67" s="52">
        <f t="shared" si="43"/>
        <v>7913.97289992</v>
      </c>
      <c r="P67" s="52">
        <f t="shared" si="43"/>
        <v>8128.996497599999</v>
      </c>
      <c r="Q67" s="53"/>
      <c r="R67" s="54">
        <f>SUM(E67:P67)</f>
        <v>108980.04591451999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7576.740000000001</v>
      </c>
      <c r="F72" s="6">
        <f t="shared" si="46"/>
        <v>6959.376000000001</v>
      </c>
      <c r="G72" s="6">
        <f t="shared" si="46"/>
        <v>5444.028</v>
      </c>
      <c r="H72" s="6">
        <f t="shared" si="46"/>
        <v>5472.090000000001</v>
      </c>
      <c r="I72" s="6">
        <f t="shared" si="46"/>
        <v>5668.524</v>
      </c>
      <c r="J72" s="6">
        <f t="shared" si="46"/>
        <v>4602.168000000001</v>
      </c>
      <c r="K72" s="6">
        <f t="shared" si="46"/>
        <v>5023.098000000001</v>
      </c>
      <c r="L72" s="6">
        <f t="shared" si="46"/>
        <v>5107.284000000001</v>
      </c>
      <c r="M72" s="6">
        <f t="shared" si="46"/>
        <v>4995.036000000001</v>
      </c>
      <c r="N72" s="6">
        <f t="shared" si="46"/>
        <v>5977.206000000001</v>
      </c>
      <c r="O72" s="6">
        <f t="shared" si="46"/>
        <v>4602.168000000001</v>
      </c>
      <c r="P72" s="6">
        <f t="shared" si="46"/>
        <v>4770.540000000001</v>
      </c>
      <c r="Q72" s="47"/>
      <c r="R72" s="47">
        <f t="shared" si="45"/>
        <v>66198.258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1519.56</v>
      </c>
      <c r="F73" s="6">
        <f t="shared" si="47"/>
        <v>1519.56</v>
      </c>
      <c r="G73" s="6">
        <f t="shared" si="47"/>
        <v>1519.56</v>
      </c>
      <c r="H73" s="6">
        <f t="shared" si="47"/>
        <v>1519.56</v>
      </c>
      <c r="I73" s="6">
        <f t="shared" si="47"/>
        <v>1519.56</v>
      </c>
      <c r="J73" s="6">
        <f t="shared" si="47"/>
        <v>1519.56</v>
      </c>
      <c r="K73" s="6">
        <f t="shared" si="47"/>
        <v>1519.56</v>
      </c>
      <c r="L73" s="6">
        <f t="shared" si="47"/>
        <v>1519.56</v>
      </c>
      <c r="M73" s="6">
        <f t="shared" si="47"/>
        <v>1519.56</v>
      </c>
      <c r="N73" s="6">
        <f t="shared" si="47"/>
        <v>1519.56</v>
      </c>
      <c r="O73" s="6">
        <f t="shared" si="47"/>
        <v>1519.56</v>
      </c>
      <c r="P73" s="6">
        <f t="shared" si="47"/>
        <v>1519.56</v>
      </c>
      <c r="Q73" s="47"/>
      <c r="R73" s="47">
        <f t="shared" si="45"/>
        <v>18234.719999999998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220.43880000000001</v>
      </c>
      <c r="F75" s="6">
        <f t="shared" si="49"/>
        <v>202.47712</v>
      </c>
      <c r="G75" s="6">
        <f t="shared" si="49"/>
        <v>158.38936</v>
      </c>
      <c r="H75" s="6">
        <f t="shared" si="49"/>
        <v>159.2058</v>
      </c>
      <c r="I75" s="6">
        <f t="shared" si="49"/>
        <v>164.92088</v>
      </c>
      <c r="J75" s="6">
        <f t="shared" si="49"/>
        <v>133.89616</v>
      </c>
      <c r="K75" s="6">
        <f t="shared" si="49"/>
        <v>146.14276</v>
      </c>
      <c r="L75" s="6">
        <f t="shared" si="49"/>
        <v>148.59208</v>
      </c>
      <c r="M75" s="6">
        <f t="shared" si="49"/>
        <v>145.32632</v>
      </c>
      <c r="N75" s="6">
        <f t="shared" si="49"/>
        <v>173.90172</v>
      </c>
      <c r="O75" s="6">
        <f t="shared" si="49"/>
        <v>133.89616</v>
      </c>
      <c r="P75" s="6">
        <f t="shared" si="49"/>
        <v>138.7948</v>
      </c>
      <c r="Q75" s="47"/>
      <c r="R75" s="47">
        <f t="shared" si="45"/>
        <v>1925.9819600000005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106.48799999999999</v>
      </c>
      <c r="F76" s="6">
        <f t="shared" si="50"/>
        <v>97.81119999999999</v>
      </c>
      <c r="G76" s="6">
        <f t="shared" si="50"/>
        <v>76.5136</v>
      </c>
      <c r="H76" s="6">
        <f t="shared" si="50"/>
        <v>76.90799999999999</v>
      </c>
      <c r="I76" s="6">
        <f t="shared" si="50"/>
        <v>79.66879999999999</v>
      </c>
      <c r="J76" s="6">
        <f t="shared" si="50"/>
        <v>64.68159999999999</v>
      </c>
      <c r="K76" s="6">
        <f t="shared" si="50"/>
        <v>70.59759999999999</v>
      </c>
      <c r="L76" s="6">
        <f t="shared" si="50"/>
        <v>71.7808</v>
      </c>
      <c r="M76" s="6">
        <f t="shared" si="50"/>
        <v>70.2032</v>
      </c>
      <c r="N76" s="6">
        <f t="shared" si="50"/>
        <v>84.0072</v>
      </c>
      <c r="O76" s="6">
        <f t="shared" si="50"/>
        <v>64.68159999999999</v>
      </c>
      <c r="P76" s="6">
        <f t="shared" si="50"/>
        <v>67.04799999999999</v>
      </c>
      <c r="Q76" s="47"/>
      <c r="R76" s="47">
        <f t="shared" si="45"/>
        <v>930.3896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127.656</v>
      </c>
      <c r="F77" s="6">
        <f aca="true" t="shared" si="51" ref="F77:P77">$D77*F$7</f>
        <v>117.2544</v>
      </c>
      <c r="G77" s="6">
        <f t="shared" si="51"/>
        <v>91.7232</v>
      </c>
      <c r="H77" s="6">
        <f t="shared" si="51"/>
        <v>92.19600000000001</v>
      </c>
      <c r="I77" s="6">
        <f t="shared" si="51"/>
        <v>95.50560000000002</v>
      </c>
      <c r="J77" s="6">
        <f t="shared" si="51"/>
        <v>77.53920000000001</v>
      </c>
      <c r="K77" s="6">
        <f t="shared" si="51"/>
        <v>84.6312</v>
      </c>
      <c r="L77" s="6">
        <f t="shared" si="51"/>
        <v>86.04960000000001</v>
      </c>
      <c r="M77" s="6">
        <f t="shared" si="51"/>
        <v>84.15840000000001</v>
      </c>
      <c r="N77" s="6">
        <f t="shared" si="51"/>
        <v>100.7064</v>
      </c>
      <c r="O77" s="6">
        <f t="shared" si="51"/>
        <v>77.53920000000001</v>
      </c>
      <c r="P77" s="6">
        <f t="shared" si="51"/>
        <v>80.376</v>
      </c>
      <c r="Q77" s="47"/>
      <c r="R77" s="47">
        <f t="shared" si="45"/>
        <v>1115.3352000000002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150.12</v>
      </c>
      <c r="F80" s="6">
        <f t="shared" si="54"/>
        <v>137.888</v>
      </c>
      <c r="G80" s="6">
        <f t="shared" si="54"/>
        <v>107.86399999999999</v>
      </c>
      <c r="H80" s="6">
        <f t="shared" si="54"/>
        <v>108.42</v>
      </c>
      <c r="I80" s="6">
        <f t="shared" si="54"/>
        <v>112.312</v>
      </c>
      <c r="J80" s="6">
        <f t="shared" si="54"/>
        <v>91.184</v>
      </c>
      <c r="K80" s="6">
        <f t="shared" si="54"/>
        <v>99.524</v>
      </c>
      <c r="L80" s="6">
        <f t="shared" si="54"/>
        <v>101.192</v>
      </c>
      <c r="M80" s="6">
        <f t="shared" si="54"/>
        <v>98.968</v>
      </c>
      <c r="N80" s="6">
        <f t="shared" si="54"/>
        <v>118.428</v>
      </c>
      <c r="O80" s="6">
        <f t="shared" si="54"/>
        <v>91.184</v>
      </c>
      <c r="P80" s="6">
        <f t="shared" si="54"/>
        <v>94.52</v>
      </c>
      <c r="Q80" s="47"/>
      <c r="R80" s="47">
        <f t="shared" si="45"/>
        <v>1311.604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189</v>
      </c>
      <c r="F81" s="6">
        <f t="shared" si="55"/>
        <v>189</v>
      </c>
      <c r="G81" s="6">
        <f t="shared" si="55"/>
        <v>189</v>
      </c>
      <c r="H81" s="6">
        <f t="shared" si="55"/>
        <v>189</v>
      </c>
      <c r="I81" s="6">
        <f t="shared" si="55"/>
        <v>189</v>
      </c>
      <c r="J81" s="6">
        <f t="shared" si="55"/>
        <v>189</v>
      </c>
      <c r="K81" s="6">
        <f t="shared" si="55"/>
        <v>189</v>
      </c>
      <c r="L81" s="6">
        <f t="shared" si="55"/>
        <v>189</v>
      </c>
      <c r="M81" s="6">
        <f t="shared" si="55"/>
        <v>189</v>
      </c>
      <c r="N81" s="6">
        <f t="shared" si="55"/>
        <v>189</v>
      </c>
      <c r="O81" s="6">
        <f t="shared" si="55"/>
        <v>189</v>
      </c>
      <c r="P81" s="6">
        <f t="shared" si="55"/>
        <v>189</v>
      </c>
      <c r="Q81" s="47"/>
      <c r="R81" s="47">
        <f t="shared" si="45"/>
        <v>2268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416.6120596580001</v>
      </c>
      <c r="F82" s="6">
        <f t="shared" si="56"/>
        <v>391.77085680120007</v>
      </c>
      <c r="G82" s="6">
        <f t="shared" si="56"/>
        <v>330.79699524359995</v>
      </c>
      <c r="H82" s="6">
        <f t="shared" si="56"/>
        <v>331.9261408280001</v>
      </c>
      <c r="I82" s="6">
        <f t="shared" si="56"/>
        <v>339.83015991880006</v>
      </c>
      <c r="J82" s="6">
        <f t="shared" si="56"/>
        <v>296.92262771160006</v>
      </c>
      <c r="K82" s="6">
        <f t="shared" si="56"/>
        <v>313.85981147760003</v>
      </c>
      <c r="L82" s="6">
        <f t="shared" si="56"/>
        <v>317.2472482308001</v>
      </c>
      <c r="M82" s="6">
        <f t="shared" si="56"/>
        <v>312.73066589320007</v>
      </c>
      <c r="N82" s="6">
        <f t="shared" si="56"/>
        <v>352.25076134720007</v>
      </c>
      <c r="O82" s="6">
        <f t="shared" si="56"/>
        <v>296.92262771160006</v>
      </c>
      <c r="P82" s="6">
        <f t="shared" si="56"/>
        <v>303.697501218</v>
      </c>
      <c r="Q82" s="47"/>
      <c r="R82" s="47">
        <f t="shared" si="45"/>
        <v>4004.5674560396005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655.5569348780001</v>
      </c>
      <c r="F83" s="6">
        <f t="shared" si="57"/>
        <v>616.4682373092002</v>
      </c>
      <c r="G83" s="6">
        <f t="shared" si="57"/>
        <v>520.5232523676</v>
      </c>
      <c r="H83" s="6">
        <f t="shared" si="57"/>
        <v>522.3000113480002</v>
      </c>
      <c r="I83" s="6">
        <f t="shared" si="57"/>
        <v>534.7373242108001</v>
      </c>
      <c r="J83" s="6">
        <f t="shared" si="57"/>
        <v>467.2204829556001</v>
      </c>
      <c r="K83" s="6">
        <f t="shared" si="57"/>
        <v>493.87186766160005</v>
      </c>
      <c r="L83" s="6">
        <f t="shared" si="57"/>
        <v>499.2021446028002</v>
      </c>
      <c r="M83" s="6">
        <f t="shared" si="57"/>
        <v>492.09510868120014</v>
      </c>
      <c r="N83" s="6">
        <f t="shared" si="57"/>
        <v>554.2816729952002</v>
      </c>
      <c r="O83" s="6">
        <f t="shared" si="57"/>
        <v>467.2204829556001</v>
      </c>
      <c r="P83" s="6">
        <f t="shared" si="57"/>
        <v>477.88103683800006</v>
      </c>
      <c r="R83" s="47">
        <f t="shared" si="45"/>
        <v>6301.3585568036015</v>
      </c>
      <c r="S83" s="20"/>
    </row>
    <row r="84" spans="1:18" ht="15.75" thickBot="1">
      <c r="A84" s="40"/>
      <c r="D84" s="9" t="s">
        <v>24</v>
      </c>
      <c r="E84" s="52">
        <f>SUM(E71:E83)</f>
        <v>11047.321794536003</v>
      </c>
      <c r="F84" s="52">
        <f aca="true" t="shared" si="58" ref="F84:P84">SUM(F71:F83)</f>
        <v>10316.755814110402</v>
      </c>
      <c r="G84" s="52">
        <f t="shared" si="58"/>
        <v>8523.548407611199</v>
      </c>
      <c r="H84" s="52">
        <f t="shared" si="58"/>
        <v>8556.755952176001</v>
      </c>
      <c r="I84" s="52">
        <f t="shared" si="58"/>
        <v>8789.208764129602</v>
      </c>
      <c r="J84" s="52">
        <f t="shared" si="58"/>
        <v>7527.322070667202</v>
      </c>
      <c r="K84" s="52">
        <f t="shared" si="58"/>
        <v>8025.435239139201</v>
      </c>
      <c r="L84" s="52">
        <f t="shared" si="58"/>
        <v>8125.057872833602</v>
      </c>
      <c r="M84" s="52">
        <f t="shared" si="58"/>
        <v>7992.2276945744015</v>
      </c>
      <c r="N84" s="52">
        <f t="shared" si="58"/>
        <v>9154.491754342404</v>
      </c>
      <c r="O84" s="52">
        <f t="shared" si="58"/>
        <v>7527.322070667202</v>
      </c>
      <c r="P84" s="52">
        <f t="shared" si="58"/>
        <v>7726.567338056</v>
      </c>
      <c r="Q84" s="53"/>
      <c r="R84" s="54">
        <f>SUM(E84:P84)</f>
        <v>103312.01477284322</v>
      </c>
    </row>
  </sheetData>
  <sheetProtection/>
  <mergeCells count="5">
    <mergeCell ref="A1:D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19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90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163760</v>
      </c>
      <c r="F7" s="75">
        <v>155280</v>
      </c>
      <c r="G7" s="75">
        <v>117680</v>
      </c>
      <c r="H7" s="75">
        <v>109920</v>
      </c>
      <c r="I7" s="75">
        <v>124160</v>
      </c>
      <c r="J7" s="75">
        <v>99360</v>
      </c>
      <c r="K7" s="75">
        <v>115440</v>
      </c>
      <c r="L7" s="75">
        <v>112240</v>
      </c>
      <c r="M7" s="75">
        <v>138080</v>
      </c>
      <c r="N7" s="75">
        <v>163200</v>
      </c>
      <c r="O7" s="75">
        <v>150400</v>
      </c>
      <c r="P7" s="75">
        <v>150960</v>
      </c>
      <c r="R7" s="4">
        <f>SUM(E7:P7)</f>
        <v>1600480</v>
      </c>
      <c r="S7" s="15">
        <f>R7/(8760*MAX(E10:P10))</f>
        <v>0.35027453287391097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R9" s="4"/>
      <c r="W9" s="15" t="s">
        <v>45</v>
      </c>
      <c r="X9" s="20"/>
    </row>
    <row r="10" spans="2:24" ht="15">
      <c r="B10" s="34">
        <f>MAX(E10:P10)</f>
        <v>521.6</v>
      </c>
      <c r="C10" s="34"/>
      <c r="D10" s="10" t="s">
        <v>5</v>
      </c>
      <c r="E10" s="76">
        <v>494.4</v>
      </c>
      <c r="F10" s="76">
        <v>521.6</v>
      </c>
      <c r="G10" s="76">
        <v>436</v>
      </c>
      <c r="H10" s="76">
        <v>416.8</v>
      </c>
      <c r="I10" s="76">
        <v>394.4</v>
      </c>
      <c r="J10" s="76">
        <v>372</v>
      </c>
      <c r="K10" s="76">
        <v>407.2</v>
      </c>
      <c r="L10" s="76">
        <v>387.5</v>
      </c>
      <c r="M10" s="76">
        <v>405.8</v>
      </c>
      <c r="N10" s="76">
        <v>516.9</v>
      </c>
      <c r="O10" s="76">
        <v>468</v>
      </c>
      <c r="P10" s="76">
        <v>303.4</v>
      </c>
      <c r="R10" s="4">
        <f>SUM(E10:P10)</f>
        <v>5123.999999999999</v>
      </c>
      <c r="W10" s="15" t="s">
        <v>46</v>
      </c>
      <c r="X10" s="20"/>
    </row>
    <row r="11" spans="2:24" ht="15">
      <c r="B11" s="34">
        <f>MAX(E11:P11)</f>
        <v>521.6</v>
      </c>
      <c r="C11" s="34"/>
      <c r="D11" s="10" t="s">
        <v>6</v>
      </c>
      <c r="E11" s="76">
        <v>494.4</v>
      </c>
      <c r="F11" s="76">
        <v>521.6</v>
      </c>
      <c r="G11" s="76">
        <v>436</v>
      </c>
      <c r="H11" s="76">
        <v>416.8</v>
      </c>
      <c r="I11" s="76">
        <v>394.4</v>
      </c>
      <c r="J11" s="76">
        <v>372</v>
      </c>
      <c r="K11" s="76">
        <v>407.2</v>
      </c>
      <c r="L11" s="76">
        <v>387.5</v>
      </c>
      <c r="M11" s="76">
        <v>405.8</v>
      </c>
      <c r="N11" s="76">
        <v>516.9</v>
      </c>
      <c r="O11" s="76">
        <v>468</v>
      </c>
      <c r="P11" s="76">
        <v>303.4</v>
      </c>
      <c r="R11" s="4">
        <f>SUM(E11:P11)</f>
        <v>5123.999999999999</v>
      </c>
      <c r="W11" s="15" t="s">
        <v>47</v>
      </c>
      <c r="X11" s="20"/>
    </row>
    <row r="12" spans="2:24" ht="15">
      <c r="B12" s="34">
        <f>MAX(E12:P12)</f>
        <v>521.6</v>
      </c>
      <c r="C12" s="34"/>
      <c r="D12" s="10" t="s">
        <v>7</v>
      </c>
      <c r="E12" s="76">
        <v>494.4</v>
      </c>
      <c r="F12" s="76">
        <v>521.6</v>
      </c>
      <c r="G12" s="76">
        <v>436</v>
      </c>
      <c r="H12" s="76">
        <v>416.8</v>
      </c>
      <c r="I12" s="76">
        <v>394.4</v>
      </c>
      <c r="J12" s="76">
        <v>372</v>
      </c>
      <c r="K12" s="76">
        <v>407.2</v>
      </c>
      <c r="L12" s="76">
        <v>387.5</v>
      </c>
      <c r="M12" s="76">
        <v>405.8</v>
      </c>
      <c r="N12" s="76">
        <v>516.9</v>
      </c>
      <c r="O12" s="76">
        <v>468</v>
      </c>
      <c r="P12" s="76">
        <v>303.4</v>
      </c>
      <c r="R12" s="4">
        <f>SUM(E12:P12)</f>
        <v>5123.999999999999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str">
        <f>IF($D$15="Rate 1",B21,IF($D$15="Rate 2",B34,IF($D$15="Rate 3",B49,IF($D$15="Rate 4",#REF!,IF($D$15="Rate 5",B54,IF($D$15="Rate 6",B70,IF($D$15="Rate 7",#REF!,IF($D$15="Rate 8",#REF!))))))))</f>
        <v>L.G.S. School Current</v>
      </c>
      <c r="D15" s="45" t="s">
        <v>44</v>
      </c>
      <c r="E15" s="25">
        <f>IF($D$15="Rate 1",E32,IF($D$15="Rate 2",E46,IF($D$15="Rate 3",#REF!,IF($D$15="Rate 4",#REF!,IF($D$15="Rate 5",E67,IF($D$15="Rate 6",E84,IF($D$15="Rate 7",#REF!,IF($D$15="Rate 8",#REF!))))))))</f>
        <v>17051.925658632</v>
      </c>
      <c r="F15" s="25">
        <f>IF($D$15="Rate 1",F32,IF($D$15="Rate 2",F46,IF($D$15="Rate 3",#REF!,IF($D$15="Rate 4",#REF!,IF($D$15="Rate 5",F67,IF($D$15="Rate 6",F84,IF($D$15="Rate 7",#REF!,IF($D$15="Rate 8",#REF!))))))))</f>
        <v>16417.751730296</v>
      </c>
      <c r="G15" s="25">
        <f>IF($D$15="Rate 1",G32,IF($D$15="Rate 2",G46,IF($D$15="Rate 3",#REF!,IF($D$15="Rate 4",#REF!,IF($D$15="Rate 5",G67,IF($D$15="Rate 6",G84,IF($D$15="Rate 7",#REF!,IF($D$15="Rate 8",#REF!))))))))</f>
        <v>12653.853273576</v>
      </c>
      <c r="H15" s="25">
        <f>IF($D$15="Rate 1",H32,IF($D$15="Rate 2",H46,IF($D$15="Rate 3",#REF!,IF($D$15="Rate 4",#REF!,IF($D$15="Rate 5",H67,IF($D$15="Rate 6",H84,IF($D$15="Rate 7",#REF!,IF($D$15="Rate 8",#REF!))))))))</f>
        <v>11869.968342944003</v>
      </c>
      <c r="I15" s="25">
        <f>IF($D$15="Rate 1",I32,IF($D$15="Rate 2",I46,IF($D$15="Rate 3",#REF!,IF($D$15="Rate 4",#REF!,IF($D$15="Rate 5",I67,IF($D$15="Rate 6",I84,IF($D$15="Rate 7",#REF!,IF($D$15="Rate 8",#REF!))))))))</f>
        <v>13042.359396912</v>
      </c>
      <c r="J15" s="25">
        <f>IF($D$15="Rate 1",J32,IF($D$15="Rate 2",J46,IF($D$15="Rate 3",#REF!,IF($D$15="Rate 4",#REF!,IF($D$15="Rate 5",J67,IF($D$15="Rate 6",J84,IF($D$15="Rate 7",#REF!,IF($D$15="Rate 8",#REF!))))))))</f>
        <v>10717.033261952001</v>
      </c>
      <c r="K15" s="25">
        <f>IF($D$15="Rate 1",K32,IF($D$15="Rate 2",K46,IF($D$15="Rate 3",#REF!,IF($D$15="Rate 4",#REF!,IF($D$15="Rate 5",K67,IF($D$15="Rate 6",K84,IF($D$15="Rate 7",#REF!,IF($D$15="Rate 8",#REF!))))))))</f>
        <v>12320.201635207999</v>
      </c>
      <c r="L15" s="25">
        <f>IF($D$15="Rate 1",L32,IF($D$15="Rate 2",L46,IF($D$15="Rate 3",#REF!,IF($D$15="Rate 4",#REF!,IF($D$15="Rate 5",L67,IF($D$15="Rate 6",L84,IF($D$15="Rate 7",#REF!,IF($D$15="Rate 8",#REF!))))))))</f>
        <v>11942.553155668</v>
      </c>
      <c r="M15" s="25">
        <f>IF($D$15="Rate 1",M32,IF($D$15="Rate 2",M46,IF($D$15="Rate 3",#REF!,IF($D$15="Rate 4",#REF!,IF($D$15="Rate 5",M67,IF($D$15="Rate 6",M84,IF($D$15="Rate 7",#REF!,IF($D$15="Rate 8",#REF!))))))))</f>
        <v>14342.127430056002</v>
      </c>
      <c r="N15" s="25">
        <f>IF($D$15="Rate 1",N32,IF($D$15="Rate 2",N46,IF($D$15="Rate 3",#REF!,IF($D$15="Rate 4",#REF!,IF($D$15="Rate 5",N67,IF($D$15="Rate 6",N84,IF($D$15="Rate 7",#REF!,IF($D$15="Rate 8",#REF!))))))))</f>
        <v>17105.63078834</v>
      </c>
      <c r="O15" s="25">
        <f>IF($D$15="Rate 1",O32,IF($D$15="Rate 2",O46,IF($D$15="Rate 3",#REF!,IF($D$15="Rate 4",#REF!,IF($D$15="Rate 5",O67,IF($D$15="Rate 6",O84,IF($D$15="Rate 7",#REF!,IF($D$15="Rate 8",#REF!))))))))</f>
        <v>15733.078263280002</v>
      </c>
      <c r="P15" s="25">
        <f>IF($D$15="Rate 1",P32,IF($D$15="Rate 2",P46,IF($D$15="Rate 3",#REF!,IF($D$15="Rate 4",#REF!,IF($D$15="Rate 5",P67,IF($D$15="Rate 6",P84,IF($D$15="Rate 7",#REF!,IF($D$15="Rate 8",#REF!))))))))</f>
        <v>15023.330258672</v>
      </c>
      <c r="Q15" s="61"/>
      <c r="R15" s="25">
        <f>IF($D$15="Rate 1",R32,IF($D$15="Rate 2",R46,IF($D$15="Rate 3",#REF!,IF($D$15="Rate 4",#REF!,IF($D$15="Rate 5",R67,IF($D$15="Rate 6",R84,IF($D$15="Rate 7",#REF!,IF($D$15="Rate 8",#REF!))))))))</f>
        <v>168219.81319553606</v>
      </c>
      <c r="X15" s="20"/>
    </row>
    <row r="16" spans="1:24" ht="15" customHeight="1" thickBot="1">
      <c r="A16" s="85"/>
      <c r="B16" s="24" t="s">
        <v>28</v>
      </c>
      <c r="C16" s="44" t="str">
        <f>IF($D$16="Rate 1",B21,IF($D$16="Rate 2",B34,IF($D$16="Rate 3",B49,IF($D$16="Rate 4",#REF!,IF($D$16="Rate 5",B54,IF($D$16="Rate 6",B70,IF($D$16="Rate 7",#REF!,IF($D$16="Rate 8",#REF!))))))))</f>
        <v>L.G.S. School Proposed</v>
      </c>
      <c r="D16" s="45" t="s">
        <v>45</v>
      </c>
      <c r="E16" s="26">
        <f>IF($D$16="Rate 1",E32,IF($D$16="Rate 2",E46,IF($D$16="Rate 3",#REF!,IF($D$16="Rate 4",#REF!,IF($D$16="Rate 5",E67,IF($D$16="Rate 6",E84,IF($D$16="Rate 7",#REF!,IF($D$16="Rate 8",#REF!))))))))</f>
        <v>16027.63624044992</v>
      </c>
      <c r="F16" s="26">
        <f>IF($D$16="Rate 1",F32,IF($D$16="Rate 2",F46,IF($D$16="Rate 3",#REF!,IF($D$16="Rate 4",#REF!,IF($D$16="Rate 5",F67,IF($D$16="Rate 6",F84,IF($D$16="Rate 7",#REF!,IF($D$16="Rate 8",#REF!))))))))</f>
        <v>15452.025682146561</v>
      </c>
      <c r="G16" s="26">
        <f>IF($D$16="Rate 1",G32,IF($D$16="Rate 2",G46,IF($D$16="Rate 3",#REF!,IF($D$16="Rate 4",#REF!,IF($D$16="Rate 5",G67,IF($D$16="Rate 6",G84,IF($D$16="Rate 7",#REF!,IF($D$16="Rate 8",#REF!))))))))</f>
        <v>11926.467541516162</v>
      </c>
      <c r="H16" s="26">
        <f>IF($D$16="Rate 1",H32,IF($D$16="Rate 2",H46,IF($D$16="Rate 3",#REF!,IF($D$16="Rate 4",#REF!,IF($D$16="Rate 5",H67,IF($D$16="Rate 6",H84,IF($D$16="Rate 7",#REF!,IF($D$16="Rate 8",#REF!))))))))</f>
        <v>11191.613374744644</v>
      </c>
      <c r="I16" s="26">
        <f>IF($D$16="Rate 1",I32,IF($D$16="Rate 2",I46,IF($D$16="Rate 3",#REF!,IF($D$16="Rate 4",#REF!,IF($D$16="Rate 5",I67,IF($D$16="Rate 6",I84,IF($D$16="Rate 7",#REF!,IF($D$16="Rate 8",#REF!))))))))</f>
        <v>12268.069525334718</v>
      </c>
      <c r="J16" s="26">
        <f>IF($D$16="Rate 1",J32,IF($D$16="Rate 2",J46,IF($D$16="Rate 3",#REF!,IF($D$16="Rate 4",#REF!,IF($D$16="Rate 5",J67,IF($D$16="Rate 6",J84,IF($D$16="Rate 7",#REF!,IF($D$16="Rate 8",#REF!))))))))</f>
        <v>10103.469326400322</v>
      </c>
      <c r="K16" s="26">
        <f>IF($D$16="Rate 1",K32,IF($D$16="Rate 2",K46,IF($D$16="Rate 3",#REF!,IF($D$16="Rate 4",#REF!,IF($D$16="Rate 5",K67,IF($D$16="Rate 6",K84,IF($D$16="Rate 7",#REF!,IF($D$16="Rate 8",#REF!))))))))</f>
        <v>11604.56358863168</v>
      </c>
      <c r="L16" s="26">
        <f>IF($D$16="Rate 1",L32,IF($D$16="Rate 2",L46,IF($D$16="Rate 3",#REF!,IF($D$16="Rate 4",#REF!,IF($D$16="Rate 5",L67,IF($D$16="Rate 6",L84,IF($D$16="Rate 7",#REF!,IF($D$16="Rate 8",#REF!))))))))</f>
        <v>11245.91533088288</v>
      </c>
      <c r="M16" s="26">
        <f>IF($D$16="Rate 1",M32,IF($D$16="Rate 2",M46,IF($D$16="Rate 3",#REF!,IF($D$16="Rate 4",#REF!,IF($D$16="Rate 5",M67,IF($D$16="Rate 6",M84,IF($D$16="Rate 7",#REF!,IF($D$16="Rate 8",#REF!))))))))</f>
        <v>13477.50233375456</v>
      </c>
      <c r="N16" s="26">
        <f>IF($D$16="Rate 1",N32,IF($D$16="Rate 2",N46,IF($D$16="Rate 3",#REF!,IF($D$16="Rate 4",#REF!,IF($D$16="Rate 5",N67,IF($D$16="Rate 6",N84,IF($D$16="Rate 7",#REF!,IF($D$16="Rate 8",#REF!))))))))</f>
        <v>16087.3501337792</v>
      </c>
      <c r="O16" s="26">
        <f>IF($D$16="Rate 1",O32,IF($D$16="Rate 2",O46,IF($D$16="Rate 3",#REF!,IF($D$16="Rate 4",#REF!,IF($D$16="Rate 5",O67,IF($D$16="Rate 6",O84,IF($D$16="Rate 7",#REF!,IF($D$16="Rate 8",#REF!))))))))</f>
        <v>14793.891023940803</v>
      </c>
      <c r="P16" s="26">
        <f>IF($D$16="Rate 1",P32,IF($D$16="Rate 2",P46,IF($D$16="Rate 3",#REF!,IF($D$16="Rate 4",#REF!,IF($D$16="Rate 5",P67,IF($D$16="Rate 6",P84,IF($D$16="Rate 7",#REF!,IF($D$16="Rate 8",#REF!))))))))</f>
        <v>14063.43699026432</v>
      </c>
      <c r="Q16" s="62"/>
      <c r="R16" s="26">
        <f>IF($D$16="Rate 1",R32,IF($D$16="Rate 2",R46,IF($D$16="Rate 3",#REF!,IF($D$16="Rate 4",#REF!,IF($D$16="Rate 5",R67,IF($D$16="Rate 6",R84,IF($D$16="Rate 7",#REF!,IF($D$16="Rate 8",#REF!))))))))</f>
        <v>158241.94109184574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>
        <f>E15-E16</f>
        <v>1024.2894181820811</v>
      </c>
      <c r="F17" s="28">
        <f aca="true" t="shared" si="0" ref="F17:R17">F15-F16</f>
        <v>965.7260481494395</v>
      </c>
      <c r="G17" s="28">
        <f t="shared" si="0"/>
        <v>727.3857320598381</v>
      </c>
      <c r="H17" s="28">
        <f t="shared" si="0"/>
        <v>678.3549681993591</v>
      </c>
      <c r="I17" s="28">
        <f t="shared" si="0"/>
        <v>774.2898715772808</v>
      </c>
      <c r="J17" s="28">
        <f t="shared" si="0"/>
        <v>613.5639355516796</v>
      </c>
      <c r="K17" s="28">
        <f t="shared" si="0"/>
        <v>715.6380465763195</v>
      </c>
      <c r="L17" s="28">
        <f t="shared" si="0"/>
        <v>696.6378247851189</v>
      </c>
      <c r="M17" s="28">
        <f t="shared" si="0"/>
        <v>864.6250963014409</v>
      </c>
      <c r="N17" s="28">
        <f t="shared" si="0"/>
        <v>1018.2806545608</v>
      </c>
      <c r="O17" s="28">
        <f t="shared" si="0"/>
        <v>939.1872393391986</v>
      </c>
      <c r="P17" s="29">
        <f t="shared" si="0"/>
        <v>959.8932684076808</v>
      </c>
      <c r="Q17" s="16"/>
      <c r="R17" s="28">
        <f t="shared" si="0"/>
        <v>9977.872103690315</v>
      </c>
      <c r="X17" s="20"/>
    </row>
    <row r="18" spans="2:24" ht="15" customHeight="1" thickBot="1">
      <c r="B18" s="13"/>
      <c r="C18" s="13"/>
      <c r="R18" s="64">
        <f>R17/R15</f>
        <v>0.05931448807455394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12765.092</v>
      </c>
      <c r="F56" s="6">
        <f t="shared" si="32"/>
        <v>12104.076000000001</v>
      </c>
      <c r="G56" s="6">
        <f t="shared" si="32"/>
        <v>9173.156</v>
      </c>
      <c r="H56" s="6">
        <f t="shared" si="32"/>
        <v>8568.264000000001</v>
      </c>
      <c r="I56" s="6">
        <f t="shared" si="32"/>
        <v>9678.272</v>
      </c>
      <c r="J56" s="6">
        <f t="shared" si="32"/>
        <v>7745.112000000001</v>
      </c>
      <c r="K56" s="6">
        <f t="shared" si="32"/>
        <v>8998.548</v>
      </c>
      <c r="L56" s="6">
        <f t="shared" si="32"/>
        <v>8749.108</v>
      </c>
      <c r="M56" s="6">
        <f t="shared" si="32"/>
        <v>10763.336000000001</v>
      </c>
      <c r="N56" s="6">
        <f t="shared" si="32"/>
        <v>12721.44</v>
      </c>
      <c r="O56" s="6">
        <f t="shared" si="32"/>
        <v>11723.68</v>
      </c>
      <c r="P56" s="6">
        <f t="shared" si="32"/>
        <v>11767.332</v>
      </c>
      <c r="Q56" s="47"/>
      <c r="R56" s="47">
        <f t="shared" si="31"/>
        <v>124757.416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1987.4879999999996</v>
      </c>
      <c r="F57" s="6">
        <f t="shared" si="33"/>
        <v>2096.832</v>
      </c>
      <c r="G57" s="6">
        <f t="shared" si="33"/>
        <v>1752.7199999999998</v>
      </c>
      <c r="H57" s="6">
        <f t="shared" si="33"/>
        <v>1675.5359999999998</v>
      </c>
      <c r="I57" s="6">
        <f t="shared" si="33"/>
        <v>1585.4879999999998</v>
      </c>
      <c r="J57" s="6">
        <f t="shared" si="33"/>
        <v>1495.4399999999998</v>
      </c>
      <c r="K57" s="6">
        <f t="shared" si="33"/>
        <v>1636.9439999999997</v>
      </c>
      <c r="L57" s="6">
        <f t="shared" si="33"/>
        <v>1557.7499999999998</v>
      </c>
      <c r="M57" s="6">
        <f t="shared" si="33"/>
        <v>1631.3159999999998</v>
      </c>
      <c r="N57" s="6">
        <f t="shared" si="33"/>
        <v>2077.9379999999996</v>
      </c>
      <c r="O57" s="6">
        <f t="shared" si="33"/>
        <v>1881.36</v>
      </c>
      <c r="P57" s="6">
        <f t="shared" si="33"/>
        <v>1219.668</v>
      </c>
      <c r="Q57" s="47"/>
      <c r="R57" s="47">
        <f t="shared" si="31"/>
        <v>20598.48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161.46735999999999</v>
      </c>
      <c r="F59" s="6">
        <f t="shared" si="35"/>
        <v>153.10608</v>
      </c>
      <c r="G59" s="6">
        <f t="shared" si="35"/>
        <v>116.03247999999999</v>
      </c>
      <c r="H59" s="6">
        <f t="shared" si="35"/>
        <v>108.38112</v>
      </c>
      <c r="I59" s="6">
        <f t="shared" si="35"/>
        <v>122.42175999999999</v>
      </c>
      <c r="J59" s="6">
        <f t="shared" si="35"/>
        <v>97.96896</v>
      </c>
      <c r="K59" s="6">
        <f t="shared" si="35"/>
        <v>113.82383999999999</v>
      </c>
      <c r="L59" s="6">
        <f t="shared" si="35"/>
        <v>110.66863999999998</v>
      </c>
      <c r="M59" s="6">
        <f t="shared" si="35"/>
        <v>136.14687999999998</v>
      </c>
      <c r="N59" s="6">
        <f t="shared" si="35"/>
        <v>160.91519999999997</v>
      </c>
      <c r="O59" s="6">
        <f t="shared" si="35"/>
        <v>148.2944</v>
      </c>
      <c r="P59" s="6">
        <f t="shared" si="35"/>
        <v>148.84655999999998</v>
      </c>
      <c r="Q59" s="47"/>
      <c r="R59" s="47">
        <f t="shared" si="31"/>
        <v>1578.0732799999998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334.250536</v>
      </c>
      <c r="F60" s="6">
        <f t="shared" si="36"/>
        <v>316.94200800000004</v>
      </c>
      <c r="G60" s="6">
        <f t="shared" si="36"/>
        <v>240.196648</v>
      </c>
      <c r="H60" s="6">
        <f t="shared" si="36"/>
        <v>224.35771200000002</v>
      </c>
      <c r="I60" s="6">
        <f t="shared" si="36"/>
        <v>253.422976</v>
      </c>
      <c r="J60" s="6">
        <f t="shared" si="36"/>
        <v>202.803696</v>
      </c>
      <c r="K60" s="6">
        <f t="shared" si="36"/>
        <v>235.62458400000003</v>
      </c>
      <c r="L60" s="6">
        <f t="shared" si="36"/>
        <v>229.09306400000003</v>
      </c>
      <c r="M60" s="6">
        <f t="shared" si="36"/>
        <v>281.83508800000004</v>
      </c>
      <c r="N60" s="6">
        <f t="shared" si="36"/>
        <v>333.10752</v>
      </c>
      <c r="O60" s="6">
        <f t="shared" si="36"/>
        <v>306.98144</v>
      </c>
      <c r="P60" s="6">
        <f t="shared" si="36"/>
        <v>308.124456</v>
      </c>
      <c r="Q60" s="47"/>
      <c r="R60" s="47">
        <f t="shared" si="31"/>
        <v>3266.739728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158.84720000000002</v>
      </c>
      <c r="F61" s="6">
        <f aca="true" t="shared" si="37" ref="F61:P61">$D61*F$7</f>
        <v>150.6216</v>
      </c>
      <c r="G61" s="6">
        <f t="shared" si="37"/>
        <v>114.1496</v>
      </c>
      <c r="H61" s="6">
        <f t="shared" si="37"/>
        <v>106.6224</v>
      </c>
      <c r="I61" s="6">
        <f t="shared" si="37"/>
        <v>120.43520000000001</v>
      </c>
      <c r="J61" s="6">
        <f t="shared" si="37"/>
        <v>96.37920000000001</v>
      </c>
      <c r="K61" s="6">
        <f t="shared" si="37"/>
        <v>111.97680000000001</v>
      </c>
      <c r="L61" s="6">
        <f t="shared" si="37"/>
        <v>108.87280000000001</v>
      </c>
      <c r="M61" s="6">
        <f t="shared" si="37"/>
        <v>133.9376</v>
      </c>
      <c r="N61" s="6">
        <f t="shared" si="37"/>
        <v>158.304</v>
      </c>
      <c r="O61" s="6">
        <f t="shared" si="37"/>
        <v>145.888</v>
      </c>
      <c r="P61" s="6">
        <f t="shared" si="37"/>
        <v>146.43120000000002</v>
      </c>
      <c r="Q61" s="47"/>
      <c r="R61" s="47">
        <f t="shared" si="31"/>
        <v>1552.4656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1559.780562632</v>
      </c>
      <c r="F62" s="6">
        <f aca="true" t="shared" si="38" ref="F62:P62">(SUM(F55:F61)-($D60+$C60)*F$7)*$D62</f>
        <v>1511.1740422960004</v>
      </c>
      <c r="G62" s="6">
        <f t="shared" si="38"/>
        <v>1172.5985455759999</v>
      </c>
      <c r="H62" s="6">
        <f t="shared" si="38"/>
        <v>1101.8071109440002</v>
      </c>
      <c r="I62" s="6">
        <f t="shared" si="38"/>
        <v>1197.3194609119998</v>
      </c>
      <c r="J62" s="6">
        <f t="shared" si="38"/>
        <v>994.3294059520003</v>
      </c>
      <c r="K62" s="6">
        <f t="shared" si="38"/>
        <v>1138.2844112079997</v>
      </c>
      <c r="L62" s="6">
        <f t="shared" si="38"/>
        <v>1102.060651668</v>
      </c>
      <c r="M62" s="6">
        <f t="shared" si="38"/>
        <v>1310.5558620560003</v>
      </c>
      <c r="N62" s="6">
        <f t="shared" si="38"/>
        <v>1568.9260683399998</v>
      </c>
      <c r="O62" s="6">
        <f t="shared" si="38"/>
        <v>1441.8744232800002</v>
      </c>
      <c r="P62" s="6">
        <f t="shared" si="38"/>
        <v>1347.928042672</v>
      </c>
      <c r="Q62" s="47"/>
      <c r="R62" s="47">
        <f t="shared" si="31"/>
        <v>15446.638587536001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17051.925658632</v>
      </c>
      <c r="F67" s="52">
        <f aca="true" t="shared" si="43" ref="F67:P67">SUM(F55:F66)</f>
        <v>16417.751730296</v>
      </c>
      <c r="G67" s="52">
        <f t="shared" si="43"/>
        <v>12653.853273576</v>
      </c>
      <c r="H67" s="52">
        <f t="shared" si="43"/>
        <v>11869.968342944003</v>
      </c>
      <c r="I67" s="52">
        <f t="shared" si="43"/>
        <v>13042.359396912</v>
      </c>
      <c r="J67" s="52">
        <f t="shared" si="43"/>
        <v>10717.033261952001</v>
      </c>
      <c r="K67" s="52">
        <f t="shared" si="43"/>
        <v>12320.201635207999</v>
      </c>
      <c r="L67" s="52">
        <f t="shared" si="43"/>
        <v>11942.553155668</v>
      </c>
      <c r="M67" s="52">
        <f t="shared" si="43"/>
        <v>14342.127430056002</v>
      </c>
      <c r="N67" s="52">
        <f t="shared" si="43"/>
        <v>17105.63078834</v>
      </c>
      <c r="O67" s="52">
        <f t="shared" si="43"/>
        <v>15733.078263280002</v>
      </c>
      <c r="P67" s="52">
        <f t="shared" si="43"/>
        <v>15023.330258672</v>
      </c>
      <c r="Q67" s="53"/>
      <c r="R67" s="54">
        <f>SUM(E67:P67)</f>
        <v>168219.81319553606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11488.582800000002</v>
      </c>
      <c r="F72" s="6">
        <f t="shared" si="46"/>
        <v>10893.668400000002</v>
      </c>
      <c r="G72" s="6">
        <f t="shared" si="46"/>
        <v>8255.840400000001</v>
      </c>
      <c r="H72" s="6">
        <f t="shared" si="46"/>
        <v>7711.437600000001</v>
      </c>
      <c r="I72" s="6">
        <f t="shared" si="46"/>
        <v>8710.444800000001</v>
      </c>
      <c r="J72" s="6">
        <f t="shared" si="46"/>
        <v>6970.600800000001</v>
      </c>
      <c r="K72" s="6">
        <f t="shared" si="46"/>
        <v>8098.693200000001</v>
      </c>
      <c r="L72" s="6">
        <f t="shared" si="46"/>
        <v>7874.197200000001</v>
      </c>
      <c r="M72" s="6">
        <f t="shared" si="46"/>
        <v>9687.002400000001</v>
      </c>
      <c r="N72" s="6">
        <f t="shared" si="46"/>
        <v>11449.296000000002</v>
      </c>
      <c r="O72" s="6">
        <f t="shared" si="46"/>
        <v>10551.312000000002</v>
      </c>
      <c r="P72" s="6">
        <f t="shared" si="46"/>
        <v>10590.598800000002</v>
      </c>
      <c r="Q72" s="47"/>
      <c r="R72" s="47">
        <f t="shared" si="45"/>
        <v>112281.67440000002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1788.7391999999998</v>
      </c>
      <c r="F73" s="6">
        <f t="shared" si="47"/>
        <v>1887.1488</v>
      </c>
      <c r="G73" s="6">
        <f t="shared" si="47"/>
        <v>1577.4479999999999</v>
      </c>
      <c r="H73" s="6">
        <f t="shared" si="47"/>
        <v>1507.9824</v>
      </c>
      <c r="I73" s="6">
        <f t="shared" si="47"/>
        <v>1426.9391999999998</v>
      </c>
      <c r="J73" s="6">
        <f t="shared" si="47"/>
        <v>1345.896</v>
      </c>
      <c r="K73" s="6">
        <f t="shared" si="47"/>
        <v>1473.2495999999999</v>
      </c>
      <c r="L73" s="6">
        <f t="shared" si="47"/>
        <v>1401.975</v>
      </c>
      <c r="M73" s="6">
        <f t="shared" si="47"/>
        <v>1468.1844</v>
      </c>
      <c r="N73" s="6">
        <f t="shared" si="47"/>
        <v>1870.1442</v>
      </c>
      <c r="O73" s="6">
        <f t="shared" si="47"/>
        <v>1693.224</v>
      </c>
      <c r="P73" s="6">
        <f t="shared" si="47"/>
        <v>1097.7012</v>
      </c>
      <c r="Q73" s="47"/>
      <c r="R73" s="47">
        <f t="shared" si="45"/>
        <v>18538.631999999998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334.250536</v>
      </c>
      <c r="F75" s="6">
        <f t="shared" si="49"/>
        <v>316.94200800000004</v>
      </c>
      <c r="G75" s="6">
        <f t="shared" si="49"/>
        <v>240.196648</v>
      </c>
      <c r="H75" s="6">
        <f t="shared" si="49"/>
        <v>224.35771200000002</v>
      </c>
      <c r="I75" s="6">
        <f t="shared" si="49"/>
        <v>253.422976</v>
      </c>
      <c r="J75" s="6">
        <f t="shared" si="49"/>
        <v>202.803696</v>
      </c>
      <c r="K75" s="6">
        <f t="shared" si="49"/>
        <v>235.62458400000003</v>
      </c>
      <c r="L75" s="6">
        <f t="shared" si="49"/>
        <v>229.09306400000003</v>
      </c>
      <c r="M75" s="6">
        <f t="shared" si="49"/>
        <v>281.83508800000004</v>
      </c>
      <c r="N75" s="6">
        <f t="shared" si="49"/>
        <v>333.10752</v>
      </c>
      <c r="O75" s="6">
        <f t="shared" si="49"/>
        <v>306.98144</v>
      </c>
      <c r="P75" s="6">
        <f t="shared" si="49"/>
        <v>308.124456</v>
      </c>
      <c r="Q75" s="47"/>
      <c r="R75" s="47">
        <f t="shared" si="45"/>
        <v>3266.739728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161.46735999999999</v>
      </c>
      <c r="F76" s="6">
        <f t="shared" si="50"/>
        <v>153.10608</v>
      </c>
      <c r="G76" s="6">
        <f t="shared" si="50"/>
        <v>116.03247999999999</v>
      </c>
      <c r="H76" s="6">
        <f t="shared" si="50"/>
        <v>108.38112</v>
      </c>
      <c r="I76" s="6">
        <f t="shared" si="50"/>
        <v>122.42175999999999</v>
      </c>
      <c r="J76" s="6">
        <f t="shared" si="50"/>
        <v>97.96896</v>
      </c>
      <c r="K76" s="6">
        <f t="shared" si="50"/>
        <v>113.82383999999999</v>
      </c>
      <c r="L76" s="6">
        <f t="shared" si="50"/>
        <v>110.66863999999998</v>
      </c>
      <c r="M76" s="6">
        <f t="shared" si="50"/>
        <v>136.14687999999998</v>
      </c>
      <c r="N76" s="6">
        <f t="shared" si="50"/>
        <v>160.91519999999997</v>
      </c>
      <c r="O76" s="6">
        <f t="shared" si="50"/>
        <v>148.2944</v>
      </c>
      <c r="P76" s="6">
        <f t="shared" si="50"/>
        <v>148.84655999999998</v>
      </c>
      <c r="Q76" s="47"/>
      <c r="R76" s="47">
        <f t="shared" si="45"/>
        <v>1578.0732799999998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193.56432</v>
      </c>
      <c r="F77" s="6">
        <f aca="true" t="shared" si="51" ref="F77:P77">$D77*F$7</f>
        <v>183.54096</v>
      </c>
      <c r="G77" s="6">
        <f t="shared" si="51"/>
        <v>139.09776000000002</v>
      </c>
      <c r="H77" s="6">
        <f t="shared" si="51"/>
        <v>129.92544</v>
      </c>
      <c r="I77" s="6">
        <f t="shared" si="51"/>
        <v>146.75712000000001</v>
      </c>
      <c r="J77" s="6">
        <f t="shared" si="51"/>
        <v>117.44352</v>
      </c>
      <c r="K77" s="6">
        <f t="shared" si="51"/>
        <v>136.45008</v>
      </c>
      <c r="L77" s="6">
        <f t="shared" si="51"/>
        <v>132.66768000000002</v>
      </c>
      <c r="M77" s="6">
        <f t="shared" si="51"/>
        <v>163.21056000000002</v>
      </c>
      <c r="N77" s="6">
        <f t="shared" si="51"/>
        <v>192.90240000000003</v>
      </c>
      <c r="O77" s="6">
        <f t="shared" si="51"/>
        <v>177.77280000000002</v>
      </c>
      <c r="P77" s="6">
        <f t="shared" si="51"/>
        <v>178.43472000000003</v>
      </c>
      <c r="Q77" s="47"/>
      <c r="R77" s="47">
        <f t="shared" si="45"/>
        <v>1891.7673599999998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227.6264</v>
      </c>
      <c r="F80" s="6">
        <f t="shared" si="54"/>
        <v>215.8392</v>
      </c>
      <c r="G80" s="6">
        <f t="shared" si="54"/>
        <v>163.5752</v>
      </c>
      <c r="H80" s="6">
        <f t="shared" si="54"/>
        <v>152.7888</v>
      </c>
      <c r="I80" s="6">
        <f t="shared" si="54"/>
        <v>172.5824</v>
      </c>
      <c r="J80" s="6">
        <f t="shared" si="54"/>
        <v>138.1104</v>
      </c>
      <c r="K80" s="6">
        <f t="shared" si="54"/>
        <v>160.4616</v>
      </c>
      <c r="L80" s="6">
        <f t="shared" si="54"/>
        <v>156.0136</v>
      </c>
      <c r="M80" s="6">
        <f t="shared" si="54"/>
        <v>191.9312</v>
      </c>
      <c r="N80" s="6">
        <f t="shared" si="54"/>
        <v>226.84799999999998</v>
      </c>
      <c r="O80" s="6">
        <f t="shared" si="54"/>
        <v>209.05599999999998</v>
      </c>
      <c r="P80" s="6">
        <f t="shared" si="54"/>
        <v>209.8344</v>
      </c>
      <c r="Q80" s="47"/>
      <c r="R80" s="47">
        <f t="shared" si="45"/>
        <v>2224.6672000000003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222.48</v>
      </c>
      <c r="F81" s="6">
        <f t="shared" si="55"/>
        <v>234.72000000000003</v>
      </c>
      <c r="G81" s="6">
        <f t="shared" si="55"/>
        <v>196.20000000000002</v>
      </c>
      <c r="H81" s="6">
        <f t="shared" si="55"/>
        <v>187.56</v>
      </c>
      <c r="I81" s="6">
        <f t="shared" si="55"/>
        <v>177.48</v>
      </c>
      <c r="J81" s="6">
        <f t="shared" si="55"/>
        <v>167.4</v>
      </c>
      <c r="K81" s="6">
        <f t="shared" si="55"/>
        <v>183.24</v>
      </c>
      <c r="L81" s="6">
        <f t="shared" si="55"/>
        <v>174.375</v>
      </c>
      <c r="M81" s="6">
        <f t="shared" si="55"/>
        <v>182.61</v>
      </c>
      <c r="N81" s="6">
        <f t="shared" si="55"/>
        <v>232.605</v>
      </c>
      <c r="O81" s="6">
        <f t="shared" si="55"/>
        <v>210.6</v>
      </c>
      <c r="P81" s="6">
        <f t="shared" si="55"/>
        <v>136.53</v>
      </c>
      <c r="Q81" s="47"/>
      <c r="R81" s="47">
        <f t="shared" si="45"/>
        <v>2305.8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592.8697143057599</v>
      </c>
      <c r="F82" s="6">
        <f t="shared" si="56"/>
        <v>575.82496604768</v>
      </c>
      <c r="G82" s="6">
        <f t="shared" si="56"/>
        <v>447.99216993648</v>
      </c>
      <c r="H82" s="6">
        <f t="shared" si="56"/>
        <v>421.22100103592015</v>
      </c>
      <c r="I82" s="6">
        <f t="shared" si="56"/>
        <v>455.74188185016</v>
      </c>
      <c r="J82" s="6">
        <f t="shared" si="56"/>
        <v>380.0581536269601</v>
      </c>
      <c r="K82" s="6">
        <f t="shared" si="56"/>
        <v>434.37033781903995</v>
      </c>
      <c r="L82" s="6">
        <f t="shared" si="56"/>
        <v>420.3447164826401</v>
      </c>
      <c r="M82" s="6">
        <f t="shared" si="56"/>
        <v>497.92518402167997</v>
      </c>
      <c r="N82" s="6">
        <f t="shared" si="56"/>
        <v>596.9909548976001</v>
      </c>
      <c r="O82" s="6">
        <f t="shared" si="56"/>
        <v>548.4658530124002</v>
      </c>
      <c r="P82" s="6">
        <f t="shared" si="56"/>
        <v>508.33303416895995</v>
      </c>
      <c r="Q82" s="47"/>
      <c r="R82" s="47">
        <f t="shared" si="45"/>
        <v>5880.137967205281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932.90591014416</v>
      </c>
      <c r="F83" s="6">
        <f t="shared" si="57"/>
        <v>906.0852680988802</v>
      </c>
      <c r="G83" s="6">
        <f t="shared" si="57"/>
        <v>704.9348835796801</v>
      </c>
      <c r="H83" s="6">
        <f t="shared" si="57"/>
        <v>662.8093017087203</v>
      </c>
      <c r="I83" s="6">
        <f t="shared" si="57"/>
        <v>717.12938748456</v>
      </c>
      <c r="J83" s="6">
        <f t="shared" si="57"/>
        <v>598.0377967733602</v>
      </c>
      <c r="K83" s="6">
        <f t="shared" si="57"/>
        <v>683.5003468126399</v>
      </c>
      <c r="L83" s="6">
        <f t="shared" si="57"/>
        <v>661.4304304002401</v>
      </c>
      <c r="M83" s="6">
        <f t="shared" si="57"/>
        <v>783.50662173288</v>
      </c>
      <c r="N83" s="6">
        <f t="shared" si="57"/>
        <v>939.3908588816001</v>
      </c>
      <c r="O83" s="6">
        <f t="shared" si="57"/>
        <v>863.0345309284004</v>
      </c>
      <c r="P83" s="6">
        <f t="shared" si="57"/>
        <v>799.88382009536</v>
      </c>
      <c r="R83" s="47">
        <f t="shared" si="45"/>
        <v>9252.649156640482</v>
      </c>
      <c r="S83" s="20"/>
    </row>
    <row r="84" spans="1:18" ht="15.75" thickBot="1">
      <c r="A84" s="40"/>
      <c r="D84" s="9" t="s">
        <v>24</v>
      </c>
      <c r="E84" s="52">
        <f>SUM(E71:E83)</f>
        <v>16027.63624044992</v>
      </c>
      <c r="F84" s="52">
        <f aca="true" t="shared" si="58" ref="F84:P84">SUM(F71:F83)</f>
        <v>15452.025682146561</v>
      </c>
      <c r="G84" s="52">
        <f t="shared" si="58"/>
        <v>11926.467541516162</v>
      </c>
      <c r="H84" s="52">
        <f t="shared" si="58"/>
        <v>11191.613374744644</v>
      </c>
      <c r="I84" s="52">
        <f t="shared" si="58"/>
        <v>12268.069525334718</v>
      </c>
      <c r="J84" s="52">
        <f t="shared" si="58"/>
        <v>10103.469326400322</v>
      </c>
      <c r="K84" s="52">
        <f t="shared" si="58"/>
        <v>11604.56358863168</v>
      </c>
      <c r="L84" s="52">
        <f t="shared" si="58"/>
        <v>11245.91533088288</v>
      </c>
      <c r="M84" s="52">
        <f t="shared" si="58"/>
        <v>13477.50233375456</v>
      </c>
      <c r="N84" s="52">
        <f t="shared" si="58"/>
        <v>16087.3501337792</v>
      </c>
      <c r="O84" s="52">
        <f t="shared" si="58"/>
        <v>14793.891023940803</v>
      </c>
      <c r="P84" s="52">
        <f t="shared" si="58"/>
        <v>14063.43699026432</v>
      </c>
      <c r="Q84" s="53"/>
      <c r="R84" s="54">
        <f>SUM(E84:P84)</f>
        <v>158241.94109184574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4"/>
  <sheetViews>
    <sheetView zoomScale="80" zoomScaleNormal="80" zoomScalePageLayoutView="80" workbookViewId="0" topLeftCell="A1">
      <pane xSplit="3" ySplit="18" topLeftCell="D111" activePane="bottomRight" state="frozen"/>
      <selection pane="topLeft" activeCell="C115" sqref="C115"/>
      <selection pane="topRight" activeCell="C115" sqref="C115"/>
      <selection pane="bottomLeft" activeCell="C115" sqref="C115"/>
      <selection pane="bottomRight" activeCell="C115" sqref="C11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9.42187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4" width="12.28125" style="15" bestFit="1" customWidth="1"/>
    <col min="15" max="15" width="11.7109375" style="15" customWidth="1"/>
    <col min="16" max="16" width="12.28125" style="15" bestFit="1" customWidth="1"/>
    <col min="17" max="17" width="7.57421875" style="15" customWidth="1"/>
    <col min="18" max="18" width="13.140625" style="15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30</v>
      </c>
      <c r="B1" s="81"/>
      <c r="C1" s="81"/>
      <c r="D1" s="81"/>
      <c r="F1" s="21"/>
      <c r="K1" s="89" t="s">
        <v>92</v>
      </c>
      <c r="L1" s="89"/>
      <c r="X1" s="20"/>
    </row>
    <row r="2" spans="1:24" ht="15" customHeight="1">
      <c r="A2" s="88"/>
      <c r="B2" s="88"/>
      <c r="C2" s="88"/>
      <c r="D2" s="88"/>
      <c r="X2" s="20"/>
    </row>
    <row r="3" spans="1:24" ht="15" customHeight="1">
      <c r="A3" s="30"/>
      <c r="X3" s="20"/>
    </row>
    <row r="4" spans="2:24" ht="15" customHeight="1" thickBot="1">
      <c r="B4" s="13"/>
      <c r="C4" s="13"/>
      <c r="W4" s="15" t="s">
        <v>40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41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42</v>
      </c>
      <c r="X6" s="20"/>
    </row>
    <row r="7" spans="2:24" ht="15" customHeight="1">
      <c r="B7" s="13"/>
      <c r="C7" s="13"/>
      <c r="D7" s="10" t="s">
        <v>2</v>
      </c>
      <c r="E7" s="75">
        <v>78219</v>
      </c>
      <c r="F7" s="75">
        <v>81342</v>
      </c>
      <c r="G7" s="75">
        <v>58079</v>
      </c>
      <c r="H7" s="75">
        <v>63438</v>
      </c>
      <c r="I7" s="75">
        <v>98038</v>
      </c>
      <c r="J7" s="75">
        <v>80586</v>
      </c>
      <c r="K7" s="75">
        <v>85963</v>
      </c>
      <c r="L7" s="75">
        <v>85639</v>
      </c>
      <c r="M7" s="75">
        <v>74835</v>
      </c>
      <c r="N7" s="75">
        <v>69824</v>
      </c>
      <c r="O7" s="75">
        <v>70049</v>
      </c>
      <c r="P7" s="75">
        <v>68944</v>
      </c>
      <c r="R7" s="4">
        <f>SUM(E7:P7)</f>
        <v>914956</v>
      </c>
      <c r="S7" s="15">
        <f>R7/(8760*MAX(E10:P10))</f>
        <v>0.22925160659234048</v>
      </c>
      <c r="W7" s="15" t="s">
        <v>43</v>
      </c>
      <c r="X7" s="20"/>
    </row>
    <row r="8" spans="2:24" ht="15" customHeight="1">
      <c r="B8" s="13"/>
      <c r="C8" s="13"/>
      <c r="D8" s="10" t="s">
        <v>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R8" s="4">
        <f>SUM(E8:P8)</f>
        <v>0</v>
      </c>
      <c r="W8" s="15" t="s">
        <v>44</v>
      </c>
      <c r="X8" s="20"/>
    </row>
    <row r="9" spans="1:24" ht="15" customHeight="1">
      <c r="A9" s="15" t="s">
        <v>4</v>
      </c>
      <c r="B9" s="33" t="s">
        <v>32</v>
      </c>
      <c r="C9" s="33"/>
      <c r="D9" s="1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R9" s="4"/>
      <c r="W9" s="15" t="s">
        <v>45</v>
      </c>
      <c r="X9" s="20"/>
    </row>
    <row r="10" spans="2:24" ht="15">
      <c r="B10" s="34">
        <f>MAX(E10:P10)</f>
        <v>455.6</v>
      </c>
      <c r="C10" s="34"/>
      <c r="D10" s="10" t="s">
        <v>5</v>
      </c>
      <c r="E10" s="76">
        <v>332.00000000000006</v>
      </c>
      <c r="F10" s="76">
        <v>358.20000000000005</v>
      </c>
      <c r="G10" s="76">
        <v>260.2</v>
      </c>
      <c r="H10" s="76">
        <v>316.00000000000006</v>
      </c>
      <c r="I10" s="76">
        <v>353.2</v>
      </c>
      <c r="J10" s="76">
        <v>339.3</v>
      </c>
      <c r="K10" s="76">
        <v>404.3</v>
      </c>
      <c r="L10" s="76">
        <v>455.6</v>
      </c>
      <c r="M10" s="76">
        <v>411.1</v>
      </c>
      <c r="N10" s="76">
        <v>314.8</v>
      </c>
      <c r="O10" s="76">
        <v>297</v>
      </c>
      <c r="P10" s="76">
        <v>217.4</v>
      </c>
      <c r="R10" s="4">
        <f>SUM(E10:P10)</f>
        <v>4059.1000000000004</v>
      </c>
      <c r="W10" s="15" t="s">
        <v>46</v>
      </c>
      <c r="X10" s="20"/>
    </row>
    <row r="11" spans="2:24" ht="15">
      <c r="B11" s="34">
        <f>MAX(E11:P11)</f>
        <v>455.6</v>
      </c>
      <c r="C11" s="34"/>
      <c r="D11" s="10" t="s">
        <v>6</v>
      </c>
      <c r="E11" s="76">
        <v>332.00000000000006</v>
      </c>
      <c r="F11" s="76">
        <v>358.20000000000005</v>
      </c>
      <c r="G11" s="76">
        <v>260.2</v>
      </c>
      <c r="H11" s="76">
        <v>316.00000000000006</v>
      </c>
      <c r="I11" s="76">
        <v>353.2</v>
      </c>
      <c r="J11" s="76">
        <v>339.3</v>
      </c>
      <c r="K11" s="76">
        <v>404.3</v>
      </c>
      <c r="L11" s="76">
        <v>455.6</v>
      </c>
      <c r="M11" s="76">
        <v>411.1</v>
      </c>
      <c r="N11" s="76">
        <v>314.8</v>
      </c>
      <c r="O11" s="76">
        <v>297</v>
      </c>
      <c r="P11" s="76">
        <v>217.4</v>
      </c>
      <c r="R11" s="4">
        <f>SUM(E11:P11)</f>
        <v>4059.1000000000004</v>
      </c>
      <c r="W11" s="15" t="s">
        <v>47</v>
      </c>
      <c r="X11" s="20"/>
    </row>
    <row r="12" spans="2:24" ht="15">
      <c r="B12" s="34">
        <f>MAX(E12:P12)</f>
        <v>455.6</v>
      </c>
      <c r="C12" s="34"/>
      <c r="D12" s="10" t="s">
        <v>7</v>
      </c>
      <c r="E12" s="76">
        <v>332.00000000000006</v>
      </c>
      <c r="F12" s="76">
        <v>358.20000000000005</v>
      </c>
      <c r="G12" s="76">
        <v>260.2</v>
      </c>
      <c r="H12" s="76">
        <v>316.00000000000006</v>
      </c>
      <c r="I12" s="76">
        <v>353.2</v>
      </c>
      <c r="J12" s="76">
        <v>339.3</v>
      </c>
      <c r="K12" s="76">
        <v>404.3</v>
      </c>
      <c r="L12" s="76">
        <v>455.6</v>
      </c>
      <c r="M12" s="76">
        <v>411.1</v>
      </c>
      <c r="N12" s="76">
        <v>314.8</v>
      </c>
      <c r="O12" s="76">
        <v>297</v>
      </c>
      <c r="P12" s="76">
        <v>217.4</v>
      </c>
      <c r="R12" s="4">
        <f>SUM(E12:P12)</f>
        <v>4059.1000000000004</v>
      </c>
      <c r="X12" s="20"/>
    </row>
    <row r="13" spans="2:24" ht="15" customHeight="1" thickBot="1">
      <c r="B13" s="31"/>
      <c r="C13" s="31"/>
      <c r="D13" s="10" t="s">
        <v>31</v>
      </c>
      <c r="E13" s="32">
        <v>87</v>
      </c>
      <c r="F13" s="32">
        <v>87</v>
      </c>
      <c r="G13" s="32">
        <v>87</v>
      </c>
      <c r="H13" s="32">
        <v>87</v>
      </c>
      <c r="I13" s="32">
        <v>87</v>
      </c>
      <c r="J13" s="32">
        <v>87</v>
      </c>
      <c r="K13" s="32">
        <v>87</v>
      </c>
      <c r="L13" s="32">
        <v>87</v>
      </c>
      <c r="M13" s="32">
        <v>87</v>
      </c>
      <c r="N13" s="32">
        <v>87</v>
      </c>
      <c r="O13" s="32">
        <v>87</v>
      </c>
      <c r="P13" s="32">
        <v>87</v>
      </c>
      <c r="X13" s="20"/>
    </row>
    <row r="14" spans="1:24" ht="15" customHeight="1" thickBot="1">
      <c r="A14" s="85" t="s">
        <v>29</v>
      </c>
      <c r="B14" s="82" t="s">
        <v>25</v>
      </c>
      <c r="C14" s="83"/>
      <c r="D14" s="84"/>
      <c r="E14" s="23" t="s">
        <v>8</v>
      </c>
      <c r="F14" s="23" t="s">
        <v>9</v>
      </c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  <c r="P14" s="23" t="s">
        <v>19</v>
      </c>
      <c r="R14" s="63" t="s">
        <v>20</v>
      </c>
      <c r="X14" s="20"/>
    </row>
    <row r="15" spans="1:24" ht="15" customHeight="1">
      <c r="A15" s="85"/>
      <c r="B15" s="24" t="s">
        <v>27</v>
      </c>
      <c r="C15" s="43" t="e">
        <f>IF($D$15="Rate 1",B21,IF($D$15="Rate 2",B34,IF($D$15="Rate 3",B49,IF($D$15="Rate 4",#REF!,IF($D$15="Rate 5",B54,IF($D$15="Rate 6",B70,IF($D$15="Rate 7",#REF!,IF($D$15="Rate 8",#REF!))))))))</f>
        <v>#REF!</v>
      </c>
      <c r="D15" s="45" t="s">
        <v>46</v>
      </c>
      <c r="E15" s="25" t="e">
        <f>IF($D$15="Rate 1",E32,IF($D$15="Rate 2",E46,IF($D$15="Rate 3",#REF!,IF($D$15="Rate 4",#REF!,IF($D$15="Rate 5",E67,IF($D$15="Rate 6",E84,IF($D$15="Rate 7",#REF!,IF($D$15="Rate 8",#REF!))))))))</f>
        <v>#REF!</v>
      </c>
      <c r="F15" s="25" t="e">
        <f>IF($D$15="Rate 1",F32,IF($D$15="Rate 2",F46,IF($D$15="Rate 3",#REF!,IF($D$15="Rate 4",#REF!,IF($D$15="Rate 5",F67,IF($D$15="Rate 6",F84,IF($D$15="Rate 7",#REF!,IF($D$15="Rate 8",#REF!))))))))</f>
        <v>#REF!</v>
      </c>
      <c r="G15" s="25" t="e">
        <f>IF($D$15="Rate 1",G32,IF($D$15="Rate 2",G46,IF($D$15="Rate 3",#REF!,IF($D$15="Rate 4",#REF!,IF($D$15="Rate 5",G67,IF($D$15="Rate 6",G84,IF($D$15="Rate 7",#REF!,IF($D$15="Rate 8",#REF!))))))))</f>
        <v>#REF!</v>
      </c>
      <c r="H15" s="25" t="e">
        <f>IF($D$15="Rate 1",H32,IF($D$15="Rate 2",H46,IF($D$15="Rate 3",#REF!,IF($D$15="Rate 4",#REF!,IF($D$15="Rate 5",H67,IF($D$15="Rate 6",H84,IF($D$15="Rate 7",#REF!,IF($D$15="Rate 8",#REF!))))))))</f>
        <v>#REF!</v>
      </c>
      <c r="I15" s="25" t="e">
        <f>IF($D$15="Rate 1",I32,IF($D$15="Rate 2",I46,IF($D$15="Rate 3",#REF!,IF($D$15="Rate 4",#REF!,IF($D$15="Rate 5",I67,IF($D$15="Rate 6",I84,IF($D$15="Rate 7",#REF!,IF($D$15="Rate 8",#REF!))))))))</f>
        <v>#REF!</v>
      </c>
      <c r="J15" s="25" t="e">
        <f>IF($D$15="Rate 1",J32,IF($D$15="Rate 2",J46,IF($D$15="Rate 3",#REF!,IF($D$15="Rate 4",#REF!,IF($D$15="Rate 5",J67,IF($D$15="Rate 6",J84,IF($D$15="Rate 7",#REF!,IF($D$15="Rate 8",#REF!))))))))</f>
        <v>#REF!</v>
      </c>
      <c r="K15" s="25" t="e">
        <f>IF($D$15="Rate 1",K32,IF($D$15="Rate 2",K46,IF($D$15="Rate 3",#REF!,IF($D$15="Rate 4",#REF!,IF($D$15="Rate 5",K67,IF($D$15="Rate 6",K84,IF($D$15="Rate 7",#REF!,IF($D$15="Rate 8",#REF!))))))))</f>
        <v>#REF!</v>
      </c>
      <c r="L15" s="25" t="e">
        <f>IF($D$15="Rate 1",L32,IF($D$15="Rate 2",L46,IF($D$15="Rate 3",#REF!,IF($D$15="Rate 4",#REF!,IF($D$15="Rate 5",L67,IF($D$15="Rate 6",L84,IF($D$15="Rate 7",#REF!,IF($D$15="Rate 8",#REF!))))))))</f>
        <v>#REF!</v>
      </c>
      <c r="M15" s="25" t="e">
        <f>IF($D$15="Rate 1",M32,IF($D$15="Rate 2",M46,IF($D$15="Rate 3",#REF!,IF($D$15="Rate 4",#REF!,IF($D$15="Rate 5",M67,IF($D$15="Rate 6",M84,IF($D$15="Rate 7",#REF!,IF($D$15="Rate 8",#REF!))))))))</f>
        <v>#REF!</v>
      </c>
      <c r="N15" s="25" t="e">
        <f>IF($D$15="Rate 1",N32,IF($D$15="Rate 2",N46,IF($D$15="Rate 3",#REF!,IF($D$15="Rate 4",#REF!,IF($D$15="Rate 5",N67,IF($D$15="Rate 6",N84,IF($D$15="Rate 7",#REF!,IF($D$15="Rate 8",#REF!))))))))</f>
        <v>#REF!</v>
      </c>
      <c r="O15" s="25" t="e">
        <f>IF($D$15="Rate 1",O32,IF($D$15="Rate 2",O46,IF($D$15="Rate 3",#REF!,IF($D$15="Rate 4",#REF!,IF($D$15="Rate 5",O67,IF($D$15="Rate 6",O84,IF($D$15="Rate 7",#REF!,IF($D$15="Rate 8",#REF!))))))))</f>
        <v>#REF!</v>
      </c>
      <c r="P15" s="25" t="e">
        <f>IF($D$15="Rate 1",P32,IF($D$15="Rate 2",P46,IF($D$15="Rate 3",#REF!,IF($D$15="Rate 4",#REF!,IF($D$15="Rate 5",P67,IF($D$15="Rate 6",P84,IF($D$15="Rate 7",#REF!,IF($D$15="Rate 8",#REF!))))))))</f>
        <v>#REF!</v>
      </c>
      <c r="Q15" s="61"/>
      <c r="R15" s="25" t="e">
        <f>IF($D$15="Rate 1",R32,IF($D$15="Rate 2",R46,IF($D$15="Rate 3",#REF!,IF($D$15="Rate 4",#REF!,IF($D$15="Rate 5",R67,IF($D$15="Rate 6",R84,IF($D$15="Rate 7",#REF!,IF($D$15="Rate 8",#REF!))))))))</f>
        <v>#REF!</v>
      </c>
      <c r="X15" s="20"/>
    </row>
    <row r="16" spans="1:24" ht="15" customHeight="1" thickBot="1">
      <c r="A16" s="85"/>
      <c r="B16" s="24" t="s">
        <v>28</v>
      </c>
      <c r="C16" s="44" t="e">
        <f>IF($D$16="Rate 1",B21,IF($D$16="Rate 2",B34,IF($D$16="Rate 3",B49,IF($D$16="Rate 4",#REF!,IF($D$16="Rate 5",B54,IF($D$16="Rate 6",B70,IF($D$16="Rate 7",#REF!,IF($D$16="Rate 8",#REF!))))))))</f>
        <v>#REF!</v>
      </c>
      <c r="D16" s="45" t="s">
        <v>47</v>
      </c>
      <c r="E16" s="26" t="e">
        <f>IF($D$16="Rate 1",E32,IF($D$16="Rate 2",E46,IF($D$16="Rate 3",#REF!,IF($D$16="Rate 4",#REF!,IF($D$16="Rate 5",E67,IF($D$16="Rate 6",E84,IF($D$16="Rate 7",#REF!,IF($D$16="Rate 8",#REF!))))))))</f>
        <v>#REF!</v>
      </c>
      <c r="F16" s="26" t="e">
        <f>IF($D$16="Rate 1",F32,IF($D$16="Rate 2",F46,IF($D$16="Rate 3",#REF!,IF($D$16="Rate 4",#REF!,IF($D$16="Rate 5",F67,IF($D$16="Rate 6",F84,IF($D$16="Rate 7",#REF!,IF($D$16="Rate 8",#REF!))))))))</f>
        <v>#REF!</v>
      </c>
      <c r="G16" s="26" t="e">
        <f>IF($D$16="Rate 1",G32,IF($D$16="Rate 2",G46,IF($D$16="Rate 3",#REF!,IF($D$16="Rate 4",#REF!,IF($D$16="Rate 5",G67,IF($D$16="Rate 6",G84,IF($D$16="Rate 7",#REF!,IF($D$16="Rate 8",#REF!))))))))</f>
        <v>#REF!</v>
      </c>
      <c r="H16" s="26" t="e">
        <f>IF($D$16="Rate 1",H32,IF($D$16="Rate 2",H46,IF($D$16="Rate 3",#REF!,IF($D$16="Rate 4",#REF!,IF($D$16="Rate 5",H67,IF($D$16="Rate 6",H84,IF($D$16="Rate 7",#REF!,IF($D$16="Rate 8",#REF!))))))))</f>
        <v>#REF!</v>
      </c>
      <c r="I16" s="26" t="e">
        <f>IF($D$16="Rate 1",I32,IF($D$16="Rate 2",I46,IF($D$16="Rate 3",#REF!,IF($D$16="Rate 4",#REF!,IF($D$16="Rate 5",I67,IF($D$16="Rate 6",I84,IF($D$16="Rate 7",#REF!,IF($D$16="Rate 8",#REF!))))))))</f>
        <v>#REF!</v>
      </c>
      <c r="J16" s="26" t="e">
        <f>IF($D$16="Rate 1",J32,IF($D$16="Rate 2",J46,IF($D$16="Rate 3",#REF!,IF($D$16="Rate 4",#REF!,IF($D$16="Rate 5",J67,IF($D$16="Rate 6",J84,IF($D$16="Rate 7",#REF!,IF($D$16="Rate 8",#REF!))))))))</f>
        <v>#REF!</v>
      </c>
      <c r="K16" s="26" t="e">
        <f>IF($D$16="Rate 1",K32,IF($D$16="Rate 2",K46,IF($D$16="Rate 3",#REF!,IF($D$16="Rate 4",#REF!,IF($D$16="Rate 5",K67,IF($D$16="Rate 6",K84,IF($D$16="Rate 7",#REF!,IF($D$16="Rate 8",#REF!))))))))</f>
        <v>#REF!</v>
      </c>
      <c r="L16" s="26" t="e">
        <f>IF($D$16="Rate 1",L32,IF($D$16="Rate 2",L46,IF($D$16="Rate 3",#REF!,IF($D$16="Rate 4",#REF!,IF($D$16="Rate 5",L67,IF($D$16="Rate 6",L84,IF($D$16="Rate 7",#REF!,IF($D$16="Rate 8",#REF!))))))))</f>
        <v>#REF!</v>
      </c>
      <c r="M16" s="26" t="e">
        <f>IF($D$16="Rate 1",M32,IF($D$16="Rate 2",M46,IF($D$16="Rate 3",#REF!,IF($D$16="Rate 4",#REF!,IF($D$16="Rate 5",M67,IF($D$16="Rate 6",M84,IF($D$16="Rate 7",#REF!,IF($D$16="Rate 8",#REF!))))))))</f>
        <v>#REF!</v>
      </c>
      <c r="N16" s="26" t="e">
        <f>IF($D$16="Rate 1",N32,IF($D$16="Rate 2",N46,IF($D$16="Rate 3",#REF!,IF($D$16="Rate 4",#REF!,IF($D$16="Rate 5",N67,IF($D$16="Rate 6",N84,IF($D$16="Rate 7",#REF!,IF($D$16="Rate 8",#REF!))))))))</f>
        <v>#REF!</v>
      </c>
      <c r="O16" s="26" t="e">
        <f>IF($D$16="Rate 1",O32,IF($D$16="Rate 2",O46,IF($D$16="Rate 3",#REF!,IF($D$16="Rate 4",#REF!,IF($D$16="Rate 5",O67,IF($D$16="Rate 6",O84,IF($D$16="Rate 7",#REF!,IF($D$16="Rate 8",#REF!))))))))</f>
        <v>#REF!</v>
      </c>
      <c r="P16" s="26" t="e">
        <f>IF($D$16="Rate 1",P32,IF($D$16="Rate 2",P46,IF($D$16="Rate 3",#REF!,IF($D$16="Rate 4",#REF!,IF($D$16="Rate 5",P67,IF($D$16="Rate 6",P84,IF($D$16="Rate 7",#REF!,IF($D$16="Rate 8",#REF!))))))))</f>
        <v>#REF!</v>
      </c>
      <c r="Q16" s="62"/>
      <c r="R16" s="26" t="e">
        <f>IF($D$16="Rate 1",R32,IF($D$16="Rate 2",R46,IF($D$16="Rate 3",#REF!,IF($D$16="Rate 4",#REF!,IF($D$16="Rate 5",R67,IF($D$16="Rate 6",R84,IF($D$16="Rate 7",#REF!,IF($D$16="Rate 8",#REF!))))))))</f>
        <v>#REF!</v>
      </c>
      <c r="X16" s="20"/>
    </row>
    <row r="17" spans="1:24" ht="15" customHeight="1" thickBot="1">
      <c r="A17" s="85"/>
      <c r="B17" s="86" t="s">
        <v>26</v>
      </c>
      <c r="C17" s="87"/>
      <c r="D17" s="87"/>
      <c r="E17" s="27" t="e">
        <f>E15-E16</f>
        <v>#REF!</v>
      </c>
      <c r="F17" s="28" t="e">
        <f aca="true" t="shared" si="0" ref="F17:R17">F15-F16</f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28" t="e">
        <f t="shared" si="0"/>
        <v>#REF!</v>
      </c>
      <c r="N17" s="28" t="e">
        <f t="shared" si="0"/>
        <v>#REF!</v>
      </c>
      <c r="O17" s="28" t="e">
        <f t="shared" si="0"/>
        <v>#REF!</v>
      </c>
      <c r="P17" s="29" t="e">
        <f t="shared" si="0"/>
        <v>#REF!</v>
      </c>
      <c r="Q17" s="16"/>
      <c r="R17" s="28" t="e">
        <f t="shared" si="0"/>
        <v>#REF!</v>
      </c>
      <c r="X17" s="20"/>
    </row>
    <row r="18" spans="2:24" ht="15" customHeight="1" thickBot="1">
      <c r="B18" s="13"/>
      <c r="C18" s="13"/>
      <c r="R18" s="64" t="e">
        <f>R17/R15</f>
        <v>#REF!</v>
      </c>
      <c r="X18" s="20"/>
    </row>
    <row r="19" spans="1:4" ht="15">
      <c r="A19" s="41" t="s">
        <v>39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19" ht="18.75">
      <c r="A21" s="41">
        <v>1</v>
      </c>
      <c r="B21" s="42" t="s">
        <v>66</v>
      </c>
      <c r="C21" s="42"/>
      <c r="S21" s="22"/>
    </row>
    <row r="22" spans="1:19" ht="15">
      <c r="A22" s="41"/>
      <c r="B22" s="15" t="s">
        <v>22</v>
      </c>
      <c r="D22" s="7"/>
      <c r="E22" s="6">
        <f>IF(E$7&gt;0,$D$22,0)</f>
        <v>0</v>
      </c>
      <c r="F22" s="6">
        <f aca="true" t="shared" si="1" ref="F22:P22">IF(F$7&gt;0,$D$22,0)</f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47"/>
      <c r="R22" s="47">
        <f aca="true" t="shared" si="2" ref="R22:R33">SUM(E22:P22)</f>
        <v>0</v>
      </c>
      <c r="S22" s="20"/>
    </row>
    <row r="23" spans="1:19" ht="15">
      <c r="A23" s="41"/>
      <c r="B23" s="15" t="s">
        <v>23</v>
      </c>
      <c r="D23" s="8"/>
      <c r="E23" s="6">
        <f>E$7*$D$23</f>
        <v>0</v>
      </c>
      <c r="F23" s="6">
        <f aca="true" t="shared" si="3" ref="F23:P23">F$7*$D$23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47"/>
      <c r="R23" s="47">
        <f t="shared" si="2"/>
        <v>0</v>
      </c>
      <c r="S23" s="20"/>
    </row>
    <row r="24" spans="1:19" ht="15">
      <c r="A24" s="41"/>
      <c r="B24" s="15" t="s">
        <v>65</v>
      </c>
      <c r="D24" s="7"/>
      <c r="E24" s="6">
        <f>$D$24*E$10</f>
        <v>0</v>
      </c>
      <c r="F24" s="6">
        <f aca="true" t="shared" si="4" ref="F24:P24">$D$24*F$10</f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47"/>
      <c r="R24" s="47">
        <f t="shared" si="2"/>
        <v>0</v>
      </c>
      <c r="S24" s="20"/>
    </row>
    <row r="25" spans="1:19" ht="15">
      <c r="A25" s="41"/>
      <c r="B25" s="40" t="s">
        <v>67</v>
      </c>
      <c r="D25" s="7"/>
      <c r="E25" s="6">
        <f>IF((1/E$13)*100&gt;1.15,($D$25*(E$10/E$13*100-1.15*E$10)),0)</f>
        <v>0</v>
      </c>
      <c r="F25" s="6">
        <f aca="true" t="shared" si="5" ref="F25:P25">IF((1/F$13)*100&gt;1.15,($D$25*(F$10/F$13*100-1.15*F$10)),0)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47"/>
      <c r="R25" s="47">
        <f t="shared" si="2"/>
        <v>0</v>
      </c>
      <c r="S25" s="20"/>
    </row>
    <row r="26" spans="1:19" ht="15">
      <c r="A26" s="41"/>
      <c r="B26" s="15" t="s">
        <v>87</v>
      </c>
      <c r="D26" s="8"/>
      <c r="E26" s="6">
        <f>$D$26*E$7</f>
        <v>0</v>
      </c>
      <c r="F26" s="6">
        <f aca="true" t="shared" si="6" ref="F26:P26">$D$26*F$7</f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47"/>
      <c r="R26" s="47">
        <f t="shared" si="2"/>
        <v>0</v>
      </c>
      <c r="S26" s="20"/>
    </row>
    <row r="27" spans="1:19" ht="15">
      <c r="A27" s="41"/>
      <c r="B27" s="15" t="s">
        <v>64</v>
      </c>
      <c r="C27" s="55"/>
      <c r="D27" s="8"/>
      <c r="E27" s="6">
        <f>E$7*$D$27</f>
        <v>0</v>
      </c>
      <c r="F27" s="6">
        <f aca="true" t="shared" si="7" ref="F27:P27">F$7*$D$27</f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47"/>
      <c r="R27" s="47">
        <f t="shared" si="2"/>
        <v>0</v>
      </c>
      <c r="S27" s="20"/>
    </row>
    <row r="28" spans="1:19" ht="15">
      <c r="A28" s="41"/>
      <c r="B28" s="15" t="s">
        <v>85</v>
      </c>
      <c r="C28" s="55"/>
      <c r="D28" s="8"/>
      <c r="E28" s="6">
        <f>$D28*E$7</f>
        <v>0</v>
      </c>
      <c r="F28" s="6">
        <f aca="true" t="shared" si="8" ref="F28:P28">$D28*F$7</f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Q28" s="47"/>
      <c r="R28" s="47">
        <f t="shared" si="2"/>
        <v>0</v>
      </c>
      <c r="S28" s="20"/>
    </row>
    <row r="29" spans="1:19" ht="14.25" customHeight="1">
      <c r="A29" s="41"/>
      <c r="B29" s="15" t="s">
        <v>60</v>
      </c>
      <c r="D29" s="8"/>
      <c r="E29" s="6">
        <f>(SUM(E22:E28)-($D27+$C27)*E$7)*$D29</f>
        <v>0</v>
      </c>
      <c r="F29" s="6">
        <f aca="true" t="shared" si="9" ref="F29:P29">(SUM(F22:F28)-($D27+$C27)*F$7)*$D29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  <c r="O29" s="6">
        <f t="shared" si="9"/>
        <v>0</v>
      </c>
      <c r="P29" s="6">
        <f t="shared" si="9"/>
        <v>0</v>
      </c>
      <c r="Q29" s="47"/>
      <c r="R29" s="47">
        <f t="shared" si="2"/>
        <v>0</v>
      </c>
      <c r="S29" s="20"/>
    </row>
    <row r="30" spans="1:19" ht="15">
      <c r="A30" s="41"/>
      <c r="B30" s="15" t="s">
        <v>61</v>
      </c>
      <c r="D30" s="8">
        <f>'Rate Comparison'!D30</f>
        <v>0</v>
      </c>
      <c r="E30" s="6">
        <f>$D$30</f>
        <v>0</v>
      </c>
      <c r="F30" s="6">
        <f aca="true" t="shared" si="10" ref="F30:P30">$D$30</f>
        <v>0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47"/>
      <c r="R30" s="47">
        <f t="shared" si="2"/>
        <v>0</v>
      </c>
      <c r="S30" s="20"/>
    </row>
    <row r="31" spans="1:19" ht="15">
      <c r="A31" s="41"/>
      <c r="B31" s="15" t="s">
        <v>68</v>
      </c>
      <c r="D31" s="8">
        <f>'Rate Comparison'!D31</f>
        <v>0</v>
      </c>
      <c r="E31" s="6">
        <f>$D$31*E$7</f>
        <v>0</v>
      </c>
      <c r="F31" s="6">
        <f aca="true" t="shared" si="11" ref="F31:P31">$D$31*F$7</f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47"/>
      <c r="R31" s="47">
        <f t="shared" si="2"/>
        <v>0</v>
      </c>
      <c r="S31" s="20"/>
    </row>
    <row r="32" spans="2:18" ht="15">
      <c r="B32" s="15" t="s">
        <v>62</v>
      </c>
      <c r="D32" s="60">
        <f>'Rate Comparison'!D32</f>
        <v>0</v>
      </c>
      <c r="E32" s="6">
        <f>$D$32*(SUM(E22:E24)+E29+E30+E31-$C$27*E$7)</f>
        <v>0</v>
      </c>
      <c r="F32" s="6">
        <f aca="true" t="shared" si="12" ref="F32:P32">$D$32*(SUM(F22:F24)+F29+F30+F31-$C$60*F$7)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47"/>
      <c r="R32" s="47">
        <f t="shared" si="2"/>
        <v>0</v>
      </c>
    </row>
    <row r="33" spans="2:18" ht="15.75" thickBot="1">
      <c r="B33" s="15" t="s">
        <v>63</v>
      </c>
      <c r="D33" s="60">
        <f>'Rate Comparison'!D33</f>
        <v>0</v>
      </c>
      <c r="E33" s="6">
        <f>$D$33*(SUM(E22:E24)+E29+E30+E31-$C$27*E$7)</f>
        <v>0</v>
      </c>
      <c r="F33" s="6">
        <f aca="true" t="shared" si="13" ref="F33:P33">$D$33*(SUM(F22:F24)+F29+F30+F31-$C$27*F$7)</f>
        <v>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6">
        <f t="shared" si="13"/>
        <v>0</v>
      </c>
      <c r="P33" s="6">
        <f t="shared" si="13"/>
        <v>0</v>
      </c>
      <c r="R33" s="47">
        <f t="shared" si="2"/>
        <v>0</v>
      </c>
    </row>
    <row r="34" spans="4:18" ht="15.75" thickBot="1">
      <c r="D34" s="9" t="s">
        <v>24</v>
      </c>
      <c r="E34" s="52">
        <f>SUM(E22:E33)</f>
        <v>0</v>
      </c>
      <c r="F34" s="52">
        <f aca="true" t="shared" si="14" ref="F34:P34">SUM(F22:F33)</f>
        <v>0</v>
      </c>
      <c r="G34" s="52">
        <f t="shared" si="14"/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4">
        <f>SUM(E34:P34)</f>
        <v>0</v>
      </c>
    </row>
    <row r="35" spans="1:24" ht="15">
      <c r="A35" s="41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7"/>
      <c r="R35" s="47"/>
      <c r="S35" s="20"/>
      <c r="X35" s="20"/>
    </row>
    <row r="36" spans="1:18" ht="18.75">
      <c r="A36" s="41">
        <v>2</v>
      </c>
      <c r="B36" s="42" t="s">
        <v>101</v>
      </c>
      <c r="C36" s="5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5">
      <c r="B37" s="15" t="s">
        <v>22</v>
      </c>
      <c r="D37" s="7"/>
      <c r="E37" s="6">
        <f>IF(E$7&gt;0,$D$71,0)</f>
        <v>85</v>
      </c>
      <c r="F37" s="6">
        <f aca="true" t="shared" si="15" ref="F37:P37">IF(F$7&gt;0,$D$71,0)</f>
        <v>85</v>
      </c>
      <c r="G37" s="6">
        <f t="shared" si="15"/>
        <v>85</v>
      </c>
      <c r="H37" s="6">
        <f t="shared" si="15"/>
        <v>85</v>
      </c>
      <c r="I37" s="6">
        <f t="shared" si="15"/>
        <v>85</v>
      </c>
      <c r="J37" s="6">
        <f t="shared" si="15"/>
        <v>85</v>
      </c>
      <c r="K37" s="6">
        <f t="shared" si="15"/>
        <v>85</v>
      </c>
      <c r="L37" s="6">
        <f t="shared" si="15"/>
        <v>85</v>
      </c>
      <c r="M37" s="6">
        <f t="shared" si="15"/>
        <v>85</v>
      </c>
      <c r="N37" s="6">
        <f t="shared" si="15"/>
        <v>85</v>
      </c>
      <c r="O37" s="6">
        <f t="shared" si="15"/>
        <v>85</v>
      </c>
      <c r="P37" s="6">
        <f t="shared" si="15"/>
        <v>85</v>
      </c>
      <c r="Q37" s="47"/>
      <c r="R37" s="47">
        <f aca="true" t="shared" si="16" ref="R37:R49">SUM(E37:P37)</f>
        <v>1020</v>
      </c>
    </row>
    <row r="38" spans="2:18" ht="15">
      <c r="B38" s="15" t="s">
        <v>23</v>
      </c>
      <c r="D38" s="8"/>
      <c r="E38" s="6">
        <f>E$7*$D$38</f>
        <v>0</v>
      </c>
      <c r="F38" s="6">
        <f aca="true" t="shared" si="17" ref="F38:P38">F$7*$D$38</f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17"/>
        <v>0</v>
      </c>
      <c r="L38" s="6">
        <f t="shared" si="17"/>
        <v>0</v>
      </c>
      <c r="M38" s="6">
        <f t="shared" si="17"/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47"/>
      <c r="R38" s="47">
        <f t="shared" si="16"/>
        <v>0</v>
      </c>
    </row>
    <row r="39" spans="2:18" ht="15">
      <c r="B39" s="15" t="s">
        <v>65</v>
      </c>
      <c r="D39" s="7"/>
      <c r="E39" s="6">
        <f>$D$39*E$10</f>
        <v>0</v>
      </c>
      <c r="F39" s="6">
        <f aca="true" t="shared" si="18" ref="F39:P39">$D$39*F$10</f>
        <v>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47"/>
      <c r="R39" s="47">
        <f t="shared" si="16"/>
        <v>0</v>
      </c>
    </row>
    <row r="40" spans="2:18" ht="15">
      <c r="B40" s="40" t="s">
        <v>67</v>
      </c>
      <c r="D40" s="7"/>
      <c r="E40" s="6">
        <f>IF((1/E$13)*100&gt;1.15,($D$40*(E$10/E$13*100-1.15*E$10)),0)</f>
        <v>0</v>
      </c>
      <c r="F40" s="6">
        <f aca="true" t="shared" si="19" ref="F40:P40">IF((1/F$13)*100&gt;1.15,($D$40*(F$10/F$13*100-1.15*F$10)),0)</f>
        <v>0</v>
      </c>
      <c r="G40" s="6">
        <f t="shared" si="19"/>
        <v>0</v>
      </c>
      <c r="H40" s="6">
        <f t="shared" si="19"/>
        <v>0</v>
      </c>
      <c r="I40" s="6">
        <f t="shared" si="19"/>
        <v>0</v>
      </c>
      <c r="J40" s="6">
        <f t="shared" si="19"/>
        <v>0</v>
      </c>
      <c r="K40" s="6">
        <f t="shared" si="19"/>
        <v>0</v>
      </c>
      <c r="L40" s="6">
        <f t="shared" si="19"/>
        <v>0</v>
      </c>
      <c r="M40" s="6">
        <f t="shared" si="19"/>
        <v>0</v>
      </c>
      <c r="N40" s="6">
        <f t="shared" si="19"/>
        <v>0</v>
      </c>
      <c r="O40" s="6">
        <f t="shared" si="19"/>
        <v>0</v>
      </c>
      <c r="P40" s="6">
        <f t="shared" si="19"/>
        <v>0</v>
      </c>
      <c r="Q40" s="47"/>
      <c r="R40" s="47">
        <f t="shared" si="16"/>
        <v>0</v>
      </c>
    </row>
    <row r="41" spans="1:18" ht="15">
      <c r="A41" s="40"/>
      <c r="B41" s="15" t="s">
        <v>64</v>
      </c>
      <c r="C41" s="55"/>
      <c r="D41" s="8"/>
      <c r="E41" s="6">
        <f>E$7*$D$41</f>
        <v>0</v>
      </c>
      <c r="F41" s="6">
        <f aca="true" t="shared" si="20" ref="F41:P41">F$7*$D$41</f>
        <v>0</v>
      </c>
      <c r="G41" s="6">
        <f t="shared" si="20"/>
        <v>0</v>
      </c>
      <c r="H41" s="6">
        <f t="shared" si="20"/>
        <v>0</v>
      </c>
      <c r="I41" s="6">
        <f t="shared" si="20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47"/>
      <c r="R41" s="47">
        <f t="shared" si="16"/>
        <v>0</v>
      </c>
    </row>
    <row r="42" spans="1:18" ht="15">
      <c r="A42" s="40"/>
      <c r="B42" s="15" t="s">
        <v>87</v>
      </c>
      <c r="D42" s="8"/>
      <c r="E42" s="6">
        <f>$D$42*E$7</f>
        <v>0</v>
      </c>
      <c r="F42" s="6">
        <f aca="true" t="shared" si="21" ref="F42:P42">$D$42*F$7</f>
        <v>0</v>
      </c>
      <c r="G42" s="6">
        <f t="shared" si="21"/>
        <v>0</v>
      </c>
      <c r="H42" s="6">
        <f t="shared" si="21"/>
        <v>0</v>
      </c>
      <c r="I42" s="6">
        <f t="shared" si="21"/>
        <v>0</v>
      </c>
      <c r="J42" s="6">
        <f t="shared" si="21"/>
        <v>0</v>
      </c>
      <c r="K42" s="6">
        <f t="shared" si="21"/>
        <v>0</v>
      </c>
      <c r="L42" s="6">
        <f t="shared" si="21"/>
        <v>0</v>
      </c>
      <c r="M42" s="6">
        <f t="shared" si="21"/>
        <v>0</v>
      </c>
      <c r="N42" s="6">
        <f t="shared" si="21"/>
        <v>0</v>
      </c>
      <c r="O42" s="6">
        <f t="shared" si="21"/>
        <v>0</v>
      </c>
      <c r="P42" s="6">
        <f t="shared" si="21"/>
        <v>0</v>
      </c>
      <c r="Q42" s="47"/>
      <c r="R42" s="47">
        <f t="shared" si="16"/>
        <v>0</v>
      </c>
    </row>
    <row r="43" spans="1:19" ht="15">
      <c r="A43" s="41"/>
      <c r="B43" s="15" t="s">
        <v>85</v>
      </c>
      <c r="C43" s="55"/>
      <c r="D43" s="8"/>
      <c r="E43" s="6">
        <f>$D43*E$7</f>
        <v>0</v>
      </c>
      <c r="F43" s="6">
        <f aca="true" t="shared" si="22" ref="F43:P43">$D43*F$7</f>
        <v>0</v>
      </c>
      <c r="G43" s="6">
        <f t="shared" si="22"/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0</v>
      </c>
      <c r="Q43" s="47"/>
      <c r="R43" s="47">
        <f t="shared" si="16"/>
        <v>0</v>
      </c>
      <c r="S43" s="20"/>
    </row>
    <row r="44" spans="1:18" ht="15">
      <c r="A44" s="40"/>
      <c r="B44" s="15" t="s">
        <v>60</v>
      </c>
      <c r="D44" s="8"/>
      <c r="E44" s="6">
        <f>(SUM(E37:E43)-($D41+$C41)*E$7)*$D44</f>
        <v>0</v>
      </c>
      <c r="F44" s="6">
        <f aca="true" t="shared" si="23" ref="F44:P44">(SUM(F37:F43)-($D41+$C41)*F$7)*$D44</f>
        <v>0</v>
      </c>
      <c r="G44" s="6">
        <f t="shared" si="23"/>
        <v>0</v>
      </c>
      <c r="H44" s="6">
        <f t="shared" si="23"/>
        <v>0</v>
      </c>
      <c r="I44" s="6">
        <f t="shared" si="23"/>
        <v>0</v>
      </c>
      <c r="J44" s="6">
        <f t="shared" si="23"/>
        <v>0</v>
      </c>
      <c r="K44" s="6">
        <f t="shared" si="23"/>
        <v>0</v>
      </c>
      <c r="L44" s="6">
        <f t="shared" si="23"/>
        <v>0</v>
      </c>
      <c r="M44" s="6">
        <f t="shared" si="23"/>
        <v>0</v>
      </c>
      <c r="N44" s="6">
        <f t="shared" si="23"/>
        <v>0</v>
      </c>
      <c r="O44" s="6">
        <f t="shared" si="23"/>
        <v>0</v>
      </c>
      <c r="P44" s="6">
        <f t="shared" si="23"/>
        <v>0</v>
      </c>
      <c r="Q44" s="47"/>
      <c r="R44" s="47">
        <f t="shared" si="16"/>
        <v>0</v>
      </c>
    </row>
    <row r="45" spans="1:18" ht="15">
      <c r="A45" s="40"/>
      <c r="B45" s="15" t="s">
        <v>61</v>
      </c>
      <c r="D45" s="8">
        <f>'Rate Comparison'!D45</f>
        <v>0</v>
      </c>
      <c r="E45" s="6">
        <f>IF(E$7&gt;0,$D$45,0)</f>
        <v>0</v>
      </c>
      <c r="F45" s="6">
        <f aca="true" t="shared" si="24" ref="F45:P45">IF(F$7&gt;0,$D$45,0)</f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47"/>
      <c r="R45" s="47">
        <f t="shared" si="16"/>
        <v>0</v>
      </c>
    </row>
    <row r="46" spans="1:18" ht="15">
      <c r="A46" s="40"/>
      <c r="B46" s="15" t="s">
        <v>83</v>
      </c>
      <c r="D46" s="8">
        <f>'Rate Comparison'!D46</f>
        <v>0</v>
      </c>
      <c r="E46" s="6">
        <f>$D$46*E$7</f>
        <v>0</v>
      </c>
      <c r="F46" s="6">
        <f aca="true" t="shared" si="25" ref="F46:P46">$D$46*F$7</f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47"/>
      <c r="R46" s="47">
        <f t="shared" si="16"/>
        <v>0</v>
      </c>
    </row>
    <row r="47" spans="1:18" ht="15">
      <c r="A47" s="40"/>
      <c r="B47" s="15" t="s">
        <v>84</v>
      </c>
      <c r="D47" s="8">
        <f>'Rate Comparison'!D47</f>
        <v>0</v>
      </c>
      <c r="E47" s="6">
        <f>$D$47*E$10</f>
        <v>0</v>
      </c>
      <c r="F47" s="6">
        <f aca="true" t="shared" si="26" ref="F47:P47">$D$47*F$10</f>
        <v>0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0</v>
      </c>
      <c r="M47" s="6">
        <f t="shared" si="26"/>
        <v>0</v>
      </c>
      <c r="N47" s="6">
        <f t="shared" si="26"/>
        <v>0</v>
      </c>
      <c r="O47" s="6">
        <f t="shared" si="26"/>
        <v>0</v>
      </c>
      <c r="P47" s="6">
        <f t="shared" si="26"/>
        <v>0</v>
      </c>
      <c r="Q47" s="47"/>
      <c r="R47" s="47">
        <f t="shared" si="16"/>
        <v>0</v>
      </c>
    </row>
    <row r="48" spans="1:18" ht="15">
      <c r="A48" s="40"/>
      <c r="B48" s="15" t="s">
        <v>62</v>
      </c>
      <c r="D48" s="60">
        <f>'Rate Comparison'!D48</f>
        <v>0</v>
      </c>
      <c r="E48" s="6">
        <f>$D48*(SUM(E37:E47)-($C$41+$D$41)*E$7)</f>
        <v>0</v>
      </c>
      <c r="F48" s="6">
        <f aca="true" t="shared" si="27" ref="F48:P48">$D48*(SUM(F37:F47)-($C$41+$D$41)*F$7)</f>
        <v>0</v>
      </c>
      <c r="G48" s="6">
        <f t="shared" si="27"/>
        <v>0</v>
      </c>
      <c r="H48" s="6">
        <f t="shared" si="27"/>
        <v>0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6">
        <f t="shared" si="27"/>
        <v>0</v>
      </c>
      <c r="P48" s="6">
        <f t="shared" si="27"/>
        <v>0</v>
      </c>
      <c r="Q48" s="47"/>
      <c r="R48" s="47">
        <f t="shared" si="16"/>
        <v>0</v>
      </c>
    </row>
    <row r="49" spans="1:19" ht="15.75" thickBot="1">
      <c r="A49" s="41"/>
      <c r="B49" s="15" t="s">
        <v>63</v>
      </c>
      <c r="D49" s="59">
        <f>'Rate Comparison'!D49</f>
        <v>0</v>
      </c>
      <c r="E49" s="6">
        <f>$D49*(SUM(E37:E47)-($C$41+$D$41)*E$7)</f>
        <v>0</v>
      </c>
      <c r="F49" s="6">
        <f aca="true" t="shared" si="28" ref="F49:P49">$D49*(SUM(F37:F47)-($C$41+$D$41)*F$7)</f>
        <v>0</v>
      </c>
      <c r="G49" s="6">
        <f t="shared" si="28"/>
        <v>0</v>
      </c>
      <c r="H49" s="6">
        <f t="shared" si="28"/>
        <v>0</v>
      </c>
      <c r="I49" s="6">
        <f t="shared" si="28"/>
        <v>0</v>
      </c>
      <c r="J49" s="6">
        <f t="shared" si="28"/>
        <v>0</v>
      </c>
      <c r="K49" s="6">
        <f t="shared" si="28"/>
        <v>0</v>
      </c>
      <c r="L49" s="6">
        <f t="shared" si="28"/>
        <v>0</v>
      </c>
      <c r="M49" s="6">
        <f t="shared" si="28"/>
        <v>0</v>
      </c>
      <c r="N49" s="6">
        <f t="shared" si="28"/>
        <v>0</v>
      </c>
      <c r="O49" s="6">
        <f t="shared" si="28"/>
        <v>0</v>
      </c>
      <c r="P49" s="6">
        <f t="shared" si="28"/>
        <v>0</v>
      </c>
      <c r="R49" s="47">
        <f t="shared" si="16"/>
        <v>0</v>
      </c>
      <c r="S49" s="20"/>
    </row>
    <row r="50" spans="1:18" ht="15.75" thickBot="1">
      <c r="A50" s="40"/>
      <c r="D50" s="9" t="s">
        <v>24</v>
      </c>
      <c r="E50" s="52">
        <f>SUM(E37:E49)</f>
        <v>85</v>
      </c>
      <c r="F50" s="52">
        <f aca="true" t="shared" si="29" ref="F50:P50">SUM(F37:F49)</f>
        <v>85</v>
      </c>
      <c r="G50" s="52">
        <f t="shared" si="29"/>
        <v>85</v>
      </c>
      <c r="H50" s="52">
        <f t="shared" si="29"/>
        <v>85</v>
      </c>
      <c r="I50" s="52">
        <f t="shared" si="29"/>
        <v>85</v>
      </c>
      <c r="J50" s="52">
        <f t="shared" si="29"/>
        <v>85</v>
      </c>
      <c r="K50" s="52">
        <f t="shared" si="29"/>
        <v>85</v>
      </c>
      <c r="L50" s="52">
        <f t="shared" si="29"/>
        <v>85</v>
      </c>
      <c r="M50" s="52">
        <f t="shared" si="29"/>
        <v>85</v>
      </c>
      <c r="N50" s="52">
        <f t="shared" si="29"/>
        <v>85</v>
      </c>
      <c r="O50" s="52">
        <f t="shared" si="29"/>
        <v>85</v>
      </c>
      <c r="P50" s="52">
        <f t="shared" si="29"/>
        <v>85</v>
      </c>
      <c r="Q50" s="53"/>
      <c r="R50" s="54">
        <f>SUM(E50:P50)</f>
        <v>1020</v>
      </c>
    </row>
    <row r="51" spans="1:19" ht="15">
      <c r="A51" s="41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7"/>
      <c r="R51" s="47"/>
      <c r="S51" s="20"/>
    </row>
    <row r="52" spans="1:19" ht="11.25" customHeight="1">
      <c r="A52" s="41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0"/>
    </row>
    <row r="53" spans="1:19" ht="15">
      <c r="A53" s="41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20"/>
    </row>
    <row r="54" spans="1:19" ht="37.5">
      <c r="A54" s="41">
        <v>5</v>
      </c>
      <c r="B54" s="42" t="s">
        <v>102</v>
      </c>
      <c r="C54" s="42"/>
      <c r="S54" s="22"/>
    </row>
    <row r="55" spans="1:19" ht="15">
      <c r="A55" s="41"/>
      <c r="B55" s="15" t="s">
        <v>22</v>
      </c>
      <c r="D55" s="7">
        <f>'Rate Comparison'!D55</f>
        <v>85</v>
      </c>
      <c r="E55" s="6">
        <f aca="true" t="shared" si="30" ref="E55:P55">IF(E$7&gt;0,$D$55,0)</f>
        <v>85</v>
      </c>
      <c r="F55" s="6">
        <f t="shared" si="30"/>
        <v>85</v>
      </c>
      <c r="G55" s="6">
        <f t="shared" si="30"/>
        <v>85</v>
      </c>
      <c r="H55" s="6">
        <f t="shared" si="30"/>
        <v>85</v>
      </c>
      <c r="I55" s="6">
        <f t="shared" si="30"/>
        <v>85</v>
      </c>
      <c r="J55" s="6">
        <f t="shared" si="30"/>
        <v>85</v>
      </c>
      <c r="K55" s="6">
        <f t="shared" si="30"/>
        <v>85</v>
      </c>
      <c r="L55" s="6">
        <f t="shared" si="30"/>
        <v>85</v>
      </c>
      <c r="M55" s="6">
        <f t="shared" si="30"/>
        <v>85</v>
      </c>
      <c r="N55" s="6">
        <f t="shared" si="30"/>
        <v>85</v>
      </c>
      <c r="O55" s="6">
        <f t="shared" si="30"/>
        <v>85</v>
      </c>
      <c r="P55" s="6">
        <f t="shared" si="30"/>
        <v>85</v>
      </c>
      <c r="Q55" s="47"/>
      <c r="R55" s="47">
        <f aca="true" t="shared" si="31" ref="R55:R66">SUM(E55:P55)</f>
        <v>1020</v>
      </c>
      <c r="S55" s="20"/>
    </row>
    <row r="56" spans="1:19" ht="15">
      <c r="A56" s="41"/>
      <c r="B56" s="15" t="s">
        <v>23</v>
      </c>
      <c r="D56" s="8">
        <f>'Rate Comparison'!D56</f>
        <v>0.07795</v>
      </c>
      <c r="E56" s="6">
        <f aca="true" t="shared" si="32" ref="E56:P56">E$7*$D$56</f>
        <v>6097.171050000001</v>
      </c>
      <c r="F56" s="6">
        <f t="shared" si="32"/>
        <v>6340.6089</v>
      </c>
      <c r="G56" s="6">
        <f t="shared" si="32"/>
        <v>4527.25805</v>
      </c>
      <c r="H56" s="6">
        <f t="shared" si="32"/>
        <v>4944.9921</v>
      </c>
      <c r="I56" s="6">
        <f t="shared" si="32"/>
        <v>7642.0621</v>
      </c>
      <c r="J56" s="6">
        <f t="shared" si="32"/>
        <v>6281.6787</v>
      </c>
      <c r="K56" s="6">
        <f t="shared" si="32"/>
        <v>6700.815850000001</v>
      </c>
      <c r="L56" s="6">
        <f t="shared" si="32"/>
        <v>6675.56005</v>
      </c>
      <c r="M56" s="6">
        <f t="shared" si="32"/>
        <v>5833.38825</v>
      </c>
      <c r="N56" s="6">
        <f t="shared" si="32"/>
        <v>5442.7808</v>
      </c>
      <c r="O56" s="6">
        <f t="shared" si="32"/>
        <v>5460.31955</v>
      </c>
      <c r="P56" s="6">
        <f t="shared" si="32"/>
        <v>5374.1848</v>
      </c>
      <c r="Q56" s="47"/>
      <c r="R56" s="47">
        <f t="shared" si="31"/>
        <v>71320.8202</v>
      </c>
      <c r="S56" s="20"/>
    </row>
    <row r="57" spans="1:19" ht="15">
      <c r="A57" s="41"/>
      <c r="B57" s="15" t="s">
        <v>65</v>
      </c>
      <c r="D57" s="7">
        <f>'Rate Comparison'!D57</f>
        <v>4.02</v>
      </c>
      <c r="E57" s="6">
        <f aca="true" t="shared" si="33" ref="E57:P57">$D$57*E$10</f>
        <v>1334.64</v>
      </c>
      <c r="F57" s="6">
        <f t="shared" si="33"/>
        <v>1439.964</v>
      </c>
      <c r="G57" s="6">
        <f t="shared" si="33"/>
        <v>1046.004</v>
      </c>
      <c r="H57" s="6">
        <f t="shared" si="33"/>
        <v>1270.3200000000002</v>
      </c>
      <c r="I57" s="6">
        <f t="shared" si="33"/>
        <v>1419.8639999999998</v>
      </c>
      <c r="J57" s="6">
        <f t="shared" si="33"/>
        <v>1363.9859999999999</v>
      </c>
      <c r="K57" s="6">
        <f t="shared" si="33"/>
        <v>1625.2859999999998</v>
      </c>
      <c r="L57" s="6">
        <f t="shared" si="33"/>
        <v>1831.512</v>
      </c>
      <c r="M57" s="6">
        <f t="shared" si="33"/>
        <v>1652.6219999999998</v>
      </c>
      <c r="N57" s="6">
        <f t="shared" si="33"/>
        <v>1265.4959999999999</v>
      </c>
      <c r="O57" s="6">
        <f t="shared" si="33"/>
        <v>1193.9399999999998</v>
      </c>
      <c r="P57" s="6">
        <f t="shared" si="33"/>
        <v>873.948</v>
      </c>
      <c r="Q57" s="47"/>
      <c r="R57" s="47">
        <f t="shared" si="31"/>
        <v>16317.581999999999</v>
      </c>
      <c r="S57" s="20"/>
    </row>
    <row r="58" spans="1:19" ht="15">
      <c r="A58" s="41"/>
      <c r="B58" s="40" t="s">
        <v>67</v>
      </c>
      <c r="D58" s="7">
        <f>'Rate Comparison'!D58</f>
        <v>3.46</v>
      </c>
      <c r="E58" s="6">
        <f aca="true" t="shared" si="34" ref="E58:P58">IF((1/E$13)*100&gt;1.15,($D$58*(E$10/E$13*100-1.15*E$10)),0)</f>
        <v>0</v>
      </c>
      <c r="F58" s="6">
        <f t="shared" si="34"/>
        <v>0</v>
      </c>
      <c r="G58" s="6">
        <f t="shared" si="34"/>
        <v>0</v>
      </c>
      <c r="H58" s="6">
        <f t="shared" si="34"/>
        <v>0</v>
      </c>
      <c r="I58" s="6">
        <f t="shared" si="34"/>
        <v>0</v>
      </c>
      <c r="J58" s="6">
        <f t="shared" si="34"/>
        <v>0</v>
      </c>
      <c r="K58" s="6">
        <f t="shared" si="34"/>
        <v>0</v>
      </c>
      <c r="L58" s="6">
        <f t="shared" si="34"/>
        <v>0</v>
      </c>
      <c r="M58" s="6">
        <f t="shared" si="34"/>
        <v>0</v>
      </c>
      <c r="N58" s="6">
        <f t="shared" si="34"/>
        <v>0</v>
      </c>
      <c r="O58" s="6">
        <f t="shared" si="34"/>
        <v>0</v>
      </c>
      <c r="P58" s="6">
        <f t="shared" si="34"/>
        <v>0</v>
      </c>
      <c r="Q58" s="47"/>
      <c r="R58" s="47">
        <f t="shared" si="31"/>
        <v>0</v>
      </c>
      <c r="S58" s="20"/>
    </row>
    <row r="59" spans="1:19" ht="15">
      <c r="A59" s="41"/>
      <c r="B59" s="15" t="s">
        <v>87</v>
      </c>
      <c r="D59" s="8">
        <f>'Rate Comparison'!D59</f>
        <v>0.000986</v>
      </c>
      <c r="E59" s="6">
        <f aca="true" t="shared" si="35" ref="E59:P59">$D$59*E$7</f>
        <v>77.12393399999999</v>
      </c>
      <c r="F59" s="6">
        <f t="shared" si="35"/>
        <v>80.203212</v>
      </c>
      <c r="G59" s="6">
        <f t="shared" si="35"/>
        <v>57.265893999999996</v>
      </c>
      <c r="H59" s="6">
        <f t="shared" si="35"/>
        <v>62.549868</v>
      </c>
      <c r="I59" s="6">
        <f t="shared" si="35"/>
        <v>96.66546799999999</v>
      </c>
      <c r="J59" s="6">
        <f t="shared" si="35"/>
        <v>79.45779599999999</v>
      </c>
      <c r="K59" s="6">
        <f t="shared" si="35"/>
        <v>84.75951799999999</v>
      </c>
      <c r="L59" s="6">
        <f t="shared" si="35"/>
        <v>84.44005399999999</v>
      </c>
      <c r="M59" s="6">
        <f t="shared" si="35"/>
        <v>73.78730999999999</v>
      </c>
      <c r="N59" s="6">
        <f t="shared" si="35"/>
        <v>68.846464</v>
      </c>
      <c r="O59" s="6">
        <f t="shared" si="35"/>
        <v>69.06831399999999</v>
      </c>
      <c r="P59" s="6">
        <f t="shared" si="35"/>
        <v>67.97878399999999</v>
      </c>
      <c r="Q59" s="47"/>
      <c r="R59" s="47">
        <f t="shared" si="31"/>
        <v>902.146616</v>
      </c>
      <c r="S59" s="20"/>
    </row>
    <row r="60" spans="1:19" ht="15">
      <c r="A60" s="41"/>
      <c r="B60" s="15" t="s">
        <v>64</v>
      </c>
      <c r="C60" s="55">
        <v>0.0284</v>
      </c>
      <c r="D60" s="8">
        <f>'Rate Comparison'!D60</f>
        <v>0.0020411</v>
      </c>
      <c r="E60" s="6">
        <f aca="true" t="shared" si="36" ref="E60:P60">E$7*$D$60</f>
        <v>159.65280090000002</v>
      </c>
      <c r="F60" s="6">
        <f t="shared" si="36"/>
        <v>166.0271562</v>
      </c>
      <c r="G60" s="6">
        <f t="shared" si="36"/>
        <v>118.5450469</v>
      </c>
      <c r="H60" s="6">
        <f t="shared" si="36"/>
        <v>129.48330180000002</v>
      </c>
      <c r="I60" s="6">
        <f t="shared" si="36"/>
        <v>200.10536180000003</v>
      </c>
      <c r="J60" s="6">
        <f t="shared" si="36"/>
        <v>164.48408460000002</v>
      </c>
      <c r="K60" s="6">
        <f t="shared" si="36"/>
        <v>175.4590793</v>
      </c>
      <c r="L60" s="6">
        <f t="shared" si="36"/>
        <v>174.7977629</v>
      </c>
      <c r="M60" s="6">
        <f t="shared" si="36"/>
        <v>152.7457185</v>
      </c>
      <c r="N60" s="6">
        <f t="shared" si="36"/>
        <v>142.5177664</v>
      </c>
      <c r="O60" s="6">
        <f t="shared" si="36"/>
        <v>142.9770139</v>
      </c>
      <c r="P60" s="6">
        <f t="shared" si="36"/>
        <v>140.7215984</v>
      </c>
      <c r="Q60" s="47"/>
      <c r="R60" s="47">
        <f t="shared" si="31"/>
        <v>1867.5166916</v>
      </c>
      <c r="S60" s="20"/>
    </row>
    <row r="61" spans="1:19" ht="15">
      <c r="A61" s="41"/>
      <c r="B61" s="15" t="s">
        <v>85</v>
      </c>
      <c r="C61" s="55"/>
      <c r="D61" s="8">
        <f>'Rate Comparison'!D61</f>
        <v>0.00097</v>
      </c>
      <c r="E61" s="6">
        <f>$D61*E$7</f>
        <v>75.87243000000001</v>
      </c>
      <c r="F61" s="6">
        <f aca="true" t="shared" si="37" ref="F61:P61">$D61*F$7</f>
        <v>78.90174</v>
      </c>
      <c r="G61" s="6">
        <f t="shared" si="37"/>
        <v>56.33663</v>
      </c>
      <c r="H61" s="6">
        <f t="shared" si="37"/>
        <v>61.53486</v>
      </c>
      <c r="I61" s="6">
        <f t="shared" si="37"/>
        <v>95.09686</v>
      </c>
      <c r="J61" s="6">
        <f t="shared" si="37"/>
        <v>78.16842</v>
      </c>
      <c r="K61" s="6">
        <f t="shared" si="37"/>
        <v>83.38411</v>
      </c>
      <c r="L61" s="6">
        <f t="shared" si="37"/>
        <v>83.06983000000001</v>
      </c>
      <c r="M61" s="6">
        <f t="shared" si="37"/>
        <v>72.58995</v>
      </c>
      <c r="N61" s="6">
        <f t="shared" si="37"/>
        <v>67.72928</v>
      </c>
      <c r="O61" s="6">
        <f t="shared" si="37"/>
        <v>67.94753</v>
      </c>
      <c r="P61" s="6">
        <f t="shared" si="37"/>
        <v>66.87568</v>
      </c>
      <c r="Q61" s="47"/>
      <c r="R61" s="47">
        <f t="shared" si="31"/>
        <v>887.50732</v>
      </c>
      <c r="S61" s="20"/>
    </row>
    <row r="62" spans="1:19" ht="14.25" customHeight="1">
      <c r="A62" s="41"/>
      <c r="B62" s="15" t="s">
        <v>60</v>
      </c>
      <c r="D62" s="8">
        <f>'Rate Comparison'!D62</f>
        <v>0.14845</v>
      </c>
      <c r="E62" s="6">
        <f>(SUM(E55:E61)-($D60+$C60)*E$7)*$D62</f>
        <v>808.8131709883003</v>
      </c>
      <c r="F62" s="6">
        <f aca="true" t="shared" si="38" ref="F62:P62">(SUM(F55:F61)-($D60+$C60)*F$7)*$D62</f>
        <v>848.3271819693999</v>
      </c>
      <c r="G62" s="6">
        <f t="shared" si="38"/>
        <v>611.9733935902999</v>
      </c>
      <c r="H62" s="6">
        <f t="shared" si="38"/>
        <v>686.2483698766</v>
      </c>
      <c r="I62" s="6">
        <f t="shared" si="38"/>
        <v>973.0020498966</v>
      </c>
      <c r="J62" s="6">
        <f t="shared" si="38"/>
        <v>831.2678222001999</v>
      </c>
      <c r="K62" s="6">
        <f t="shared" si="38"/>
        <v>911.1707024691004</v>
      </c>
      <c r="L62" s="6">
        <f t="shared" si="38"/>
        <v>939.3076268823002</v>
      </c>
      <c r="M62" s="6">
        <f t="shared" si="38"/>
        <v>830.1433125594997</v>
      </c>
      <c r="N62" s="6">
        <f t="shared" si="38"/>
        <v>734.3600226368</v>
      </c>
      <c r="O62" s="6">
        <f t="shared" si="38"/>
        <v>725.4578992193001</v>
      </c>
      <c r="P62" s="6">
        <f t="shared" si="38"/>
        <v>669.5061842208</v>
      </c>
      <c r="Q62" s="47"/>
      <c r="R62" s="47">
        <f t="shared" si="31"/>
        <v>9569.5777365092</v>
      </c>
      <c r="S62" s="20"/>
    </row>
    <row r="63" spans="1:19" ht="15">
      <c r="A63" s="41"/>
      <c r="B63" s="15" t="s">
        <v>61</v>
      </c>
      <c r="D63" s="8">
        <f>'Rate Comparison'!D63</f>
        <v>0</v>
      </c>
      <c r="E63" s="6">
        <f>$D$63</f>
        <v>0</v>
      </c>
      <c r="F63" s="6">
        <f aca="true" t="shared" si="39" ref="F63:P63">$D$63</f>
        <v>0</v>
      </c>
      <c r="G63" s="6">
        <f t="shared" si="39"/>
        <v>0</v>
      </c>
      <c r="H63" s="6">
        <f t="shared" si="39"/>
        <v>0</v>
      </c>
      <c r="I63" s="6">
        <f t="shared" si="39"/>
        <v>0</v>
      </c>
      <c r="J63" s="6">
        <f t="shared" si="39"/>
        <v>0</v>
      </c>
      <c r="K63" s="6">
        <f t="shared" si="39"/>
        <v>0</v>
      </c>
      <c r="L63" s="6">
        <f t="shared" si="39"/>
        <v>0</v>
      </c>
      <c r="M63" s="6">
        <f t="shared" si="39"/>
        <v>0</v>
      </c>
      <c r="N63" s="6">
        <f t="shared" si="39"/>
        <v>0</v>
      </c>
      <c r="O63" s="6">
        <f t="shared" si="39"/>
        <v>0</v>
      </c>
      <c r="P63" s="6">
        <f t="shared" si="39"/>
        <v>0</v>
      </c>
      <c r="Q63" s="47"/>
      <c r="R63" s="47">
        <f t="shared" si="31"/>
        <v>0</v>
      </c>
      <c r="S63" s="20"/>
    </row>
    <row r="64" spans="1:19" ht="15">
      <c r="A64" s="41"/>
      <c r="B64" s="15" t="s">
        <v>68</v>
      </c>
      <c r="D64" s="8">
        <f>'Rate Comparison'!D64</f>
        <v>0</v>
      </c>
      <c r="E64" s="6">
        <f aca="true" t="shared" si="40" ref="E64:P64">$D$64*E$7</f>
        <v>0</v>
      </c>
      <c r="F64" s="6">
        <f t="shared" si="40"/>
        <v>0</v>
      </c>
      <c r="G64" s="6">
        <f t="shared" si="40"/>
        <v>0</v>
      </c>
      <c r="H64" s="6">
        <f t="shared" si="40"/>
        <v>0</v>
      </c>
      <c r="I64" s="6">
        <f t="shared" si="40"/>
        <v>0</v>
      </c>
      <c r="J64" s="6">
        <f t="shared" si="40"/>
        <v>0</v>
      </c>
      <c r="K64" s="6">
        <f t="shared" si="40"/>
        <v>0</v>
      </c>
      <c r="L64" s="6">
        <f t="shared" si="40"/>
        <v>0</v>
      </c>
      <c r="M64" s="6">
        <f t="shared" si="40"/>
        <v>0</v>
      </c>
      <c r="N64" s="6">
        <f t="shared" si="40"/>
        <v>0</v>
      </c>
      <c r="O64" s="6">
        <f t="shared" si="40"/>
        <v>0</v>
      </c>
      <c r="P64" s="6">
        <f t="shared" si="40"/>
        <v>0</v>
      </c>
      <c r="Q64" s="47"/>
      <c r="R64" s="47">
        <f t="shared" si="31"/>
        <v>0</v>
      </c>
      <c r="S64" s="20"/>
    </row>
    <row r="65" spans="2:18" ht="15">
      <c r="B65" s="15" t="s">
        <v>62</v>
      </c>
      <c r="D65" s="60">
        <f>'Rate Comparison'!D65</f>
        <v>0</v>
      </c>
      <c r="E65" s="6">
        <f aca="true" t="shared" si="41" ref="E65:P65">$D$65*(SUM(E55:E57)+E62+E63+E64-$C$60*E$7)</f>
        <v>0</v>
      </c>
      <c r="F65" s="6">
        <f t="shared" si="41"/>
        <v>0</v>
      </c>
      <c r="G65" s="6">
        <f t="shared" si="41"/>
        <v>0</v>
      </c>
      <c r="H65" s="6">
        <f t="shared" si="41"/>
        <v>0</v>
      </c>
      <c r="I65" s="6">
        <f t="shared" si="41"/>
        <v>0</v>
      </c>
      <c r="J65" s="6">
        <f t="shared" si="41"/>
        <v>0</v>
      </c>
      <c r="K65" s="6">
        <f t="shared" si="41"/>
        <v>0</v>
      </c>
      <c r="L65" s="6">
        <f t="shared" si="41"/>
        <v>0</v>
      </c>
      <c r="M65" s="6">
        <f t="shared" si="41"/>
        <v>0</v>
      </c>
      <c r="N65" s="6">
        <f t="shared" si="41"/>
        <v>0</v>
      </c>
      <c r="O65" s="6">
        <f t="shared" si="41"/>
        <v>0</v>
      </c>
      <c r="P65" s="6">
        <f t="shared" si="41"/>
        <v>0</v>
      </c>
      <c r="Q65" s="47"/>
      <c r="R65" s="47">
        <f t="shared" si="31"/>
        <v>0</v>
      </c>
    </row>
    <row r="66" spans="2:18" ht="15.75" thickBot="1">
      <c r="B66" s="15" t="s">
        <v>63</v>
      </c>
      <c r="D66" s="60">
        <f>'Rate Comparison'!D66</f>
        <v>0</v>
      </c>
      <c r="E66" s="6">
        <f aca="true" t="shared" si="42" ref="E66:P66">$D$66*(SUM(E55:E57)+E62+E63+E64-$C$66*E$7)</f>
        <v>0</v>
      </c>
      <c r="F66" s="6">
        <f t="shared" si="42"/>
        <v>0</v>
      </c>
      <c r="G66" s="6">
        <f t="shared" si="42"/>
        <v>0</v>
      </c>
      <c r="H66" s="6">
        <f t="shared" si="42"/>
        <v>0</v>
      </c>
      <c r="I66" s="6">
        <f t="shared" si="42"/>
        <v>0</v>
      </c>
      <c r="J66" s="6">
        <f t="shared" si="42"/>
        <v>0</v>
      </c>
      <c r="K66" s="6">
        <f t="shared" si="42"/>
        <v>0</v>
      </c>
      <c r="L66" s="6">
        <f t="shared" si="42"/>
        <v>0</v>
      </c>
      <c r="M66" s="6">
        <f t="shared" si="42"/>
        <v>0</v>
      </c>
      <c r="N66" s="6">
        <f t="shared" si="42"/>
        <v>0</v>
      </c>
      <c r="O66" s="6">
        <f t="shared" si="42"/>
        <v>0</v>
      </c>
      <c r="P66" s="6">
        <f t="shared" si="42"/>
        <v>0</v>
      </c>
      <c r="R66" s="47">
        <f t="shared" si="31"/>
        <v>0</v>
      </c>
    </row>
    <row r="67" spans="4:18" ht="15.75" thickBot="1">
      <c r="D67" s="9" t="s">
        <v>24</v>
      </c>
      <c r="E67" s="52">
        <f>SUM(E55:E66)</f>
        <v>8638.273385888302</v>
      </c>
      <c r="F67" s="52">
        <f aca="true" t="shared" si="43" ref="F67:P67">SUM(F55:F66)</f>
        <v>9039.0321901694</v>
      </c>
      <c r="G67" s="52">
        <f t="shared" si="43"/>
        <v>6502.3830144902995</v>
      </c>
      <c r="H67" s="52">
        <f t="shared" si="43"/>
        <v>7240.128499676601</v>
      </c>
      <c r="I67" s="52">
        <f t="shared" si="43"/>
        <v>10511.7958396966</v>
      </c>
      <c r="J67" s="52">
        <f t="shared" si="43"/>
        <v>8884.0428228002</v>
      </c>
      <c r="K67" s="52">
        <f t="shared" si="43"/>
        <v>9665.875259769104</v>
      </c>
      <c r="L67" s="52">
        <f t="shared" si="43"/>
        <v>9873.687323782302</v>
      </c>
      <c r="M67" s="52">
        <f t="shared" si="43"/>
        <v>8700.276541059498</v>
      </c>
      <c r="N67" s="52">
        <f t="shared" si="43"/>
        <v>7806.7303330368</v>
      </c>
      <c r="O67" s="52">
        <f t="shared" si="43"/>
        <v>7744.7103071193005</v>
      </c>
      <c r="P67" s="52">
        <f t="shared" si="43"/>
        <v>7278.2150466208</v>
      </c>
      <c r="Q67" s="53"/>
      <c r="R67" s="54">
        <f>SUM(E67:P67)</f>
        <v>101885.15056410921</v>
      </c>
    </row>
    <row r="68" spans="2:18" ht="15">
      <c r="B68" s="5"/>
      <c r="C68" s="5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5"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37.5">
      <c r="A70" s="15">
        <v>6</v>
      </c>
      <c r="B70" s="42" t="s">
        <v>103</v>
      </c>
      <c r="C70" s="5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5">
      <c r="B71" s="15" t="s">
        <v>22</v>
      </c>
      <c r="D71" s="7">
        <f>'Rate Comparison'!D71</f>
        <v>85</v>
      </c>
      <c r="E71" s="6">
        <f aca="true" t="shared" si="44" ref="E71:P71">IF(E$7&gt;0,$D$71,0)</f>
        <v>85</v>
      </c>
      <c r="F71" s="6">
        <f t="shared" si="44"/>
        <v>85</v>
      </c>
      <c r="G71" s="6">
        <f t="shared" si="44"/>
        <v>85</v>
      </c>
      <c r="H71" s="6">
        <f t="shared" si="44"/>
        <v>85</v>
      </c>
      <c r="I71" s="6">
        <f t="shared" si="44"/>
        <v>85</v>
      </c>
      <c r="J71" s="6">
        <f t="shared" si="44"/>
        <v>85</v>
      </c>
      <c r="K71" s="6">
        <f t="shared" si="44"/>
        <v>85</v>
      </c>
      <c r="L71" s="6">
        <f t="shared" si="44"/>
        <v>85</v>
      </c>
      <c r="M71" s="6">
        <f t="shared" si="44"/>
        <v>85</v>
      </c>
      <c r="N71" s="6">
        <f t="shared" si="44"/>
        <v>85</v>
      </c>
      <c r="O71" s="6">
        <f t="shared" si="44"/>
        <v>85</v>
      </c>
      <c r="P71" s="6">
        <f t="shared" si="44"/>
        <v>85</v>
      </c>
      <c r="Q71" s="47"/>
      <c r="R71" s="47">
        <f aca="true" t="shared" si="45" ref="R71:R83">SUM(E71:P71)</f>
        <v>1020</v>
      </c>
    </row>
    <row r="72" spans="2:18" ht="15">
      <c r="B72" s="15" t="s">
        <v>23</v>
      </c>
      <c r="D72" s="8">
        <f>'Rate Comparison'!D72</f>
        <v>0.07015500000000001</v>
      </c>
      <c r="E72" s="6">
        <f aca="true" t="shared" si="46" ref="E72:P72">E$7*$D$72</f>
        <v>5487.453945000001</v>
      </c>
      <c r="F72" s="6">
        <f t="shared" si="46"/>
        <v>5706.54801</v>
      </c>
      <c r="G72" s="6">
        <f t="shared" si="46"/>
        <v>4074.5322450000003</v>
      </c>
      <c r="H72" s="6">
        <f t="shared" si="46"/>
        <v>4450.49289</v>
      </c>
      <c r="I72" s="6">
        <f t="shared" si="46"/>
        <v>6877.855890000001</v>
      </c>
      <c r="J72" s="6">
        <f t="shared" si="46"/>
        <v>5653.510830000001</v>
      </c>
      <c r="K72" s="6">
        <f t="shared" si="46"/>
        <v>6030.734265000001</v>
      </c>
      <c r="L72" s="6">
        <f t="shared" si="46"/>
        <v>6008.004045000001</v>
      </c>
      <c r="M72" s="6">
        <f t="shared" si="46"/>
        <v>5250.049425000001</v>
      </c>
      <c r="N72" s="6">
        <f t="shared" si="46"/>
        <v>4898.50272</v>
      </c>
      <c r="O72" s="6">
        <f t="shared" si="46"/>
        <v>4914.287595000001</v>
      </c>
      <c r="P72" s="6">
        <f t="shared" si="46"/>
        <v>4836.766320000001</v>
      </c>
      <c r="Q72" s="47"/>
      <c r="R72" s="47">
        <f t="shared" si="45"/>
        <v>64188.73818000001</v>
      </c>
    </row>
    <row r="73" spans="2:18" ht="15">
      <c r="B73" s="15" t="s">
        <v>65</v>
      </c>
      <c r="D73" s="7">
        <f>'Rate Comparison'!D73</f>
        <v>3.618</v>
      </c>
      <c r="E73" s="6">
        <f aca="true" t="shared" si="47" ref="E73:P73">$D$73*E$10</f>
        <v>1201.1760000000002</v>
      </c>
      <c r="F73" s="6">
        <f t="shared" si="47"/>
        <v>1295.9676000000002</v>
      </c>
      <c r="G73" s="6">
        <f t="shared" si="47"/>
        <v>941.4036</v>
      </c>
      <c r="H73" s="6">
        <f t="shared" si="47"/>
        <v>1143.2880000000002</v>
      </c>
      <c r="I73" s="6">
        <f t="shared" si="47"/>
        <v>1277.8776</v>
      </c>
      <c r="J73" s="6">
        <f t="shared" si="47"/>
        <v>1227.5874</v>
      </c>
      <c r="K73" s="6">
        <f t="shared" si="47"/>
        <v>1462.7574</v>
      </c>
      <c r="L73" s="6">
        <f t="shared" si="47"/>
        <v>1648.3608</v>
      </c>
      <c r="M73" s="6">
        <f t="shared" si="47"/>
        <v>1487.3598</v>
      </c>
      <c r="N73" s="6">
        <f t="shared" si="47"/>
        <v>1138.9464</v>
      </c>
      <c r="O73" s="6">
        <f t="shared" si="47"/>
        <v>1074.546</v>
      </c>
      <c r="P73" s="6">
        <f t="shared" si="47"/>
        <v>786.5532</v>
      </c>
      <c r="Q73" s="47"/>
      <c r="R73" s="47">
        <f t="shared" si="45"/>
        <v>14685.823800000002</v>
      </c>
    </row>
    <row r="74" spans="2:18" ht="15">
      <c r="B74" s="40" t="s">
        <v>67</v>
      </c>
      <c r="D74" s="7">
        <f>'Rate Comparison'!D74</f>
        <v>3.46</v>
      </c>
      <c r="E74" s="6">
        <f aca="true" t="shared" si="48" ref="E74:P74">IF((1/E$13)*100&gt;1.15,($D$74*(E$10/E$13*100-1.15*E$10)),0)</f>
        <v>0</v>
      </c>
      <c r="F74" s="6">
        <f t="shared" si="48"/>
        <v>0</v>
      </c>
      <c r="G74" s="6">
        <f t="shared" si="48"/>
        <v>0</v>
      </c>
      <c r="H74" s="6">
        <f t="shared" si="48"/>
        <v>0</v>
      </c>
      <c r="I74" s="6">
        <f t="shared" si="48"/>
        <v>0</v>
      </c>
      <c r="J74" s="6">
        <f t="shared" si="48"/>
        <v>0</v>
      </c>
      <c r="K74" s="6">
        <f t="shared" si="48"/>
        <v>0</v>
      </c>
      <c r="L74" s="6">
        <f t="shared" si="48"/>
        <v>0</v>
      </c>
      <c r="M74" s="6">
        <f t="shared" si="48"/>
        <v>0</v>
      </c>
      <c r="N74" s="6">
        <f t="shared" si="48"/>
        <v>0</v>
      </c>
      <c r="O74" s="6">
        <f t="shared" si="48"/>
        <v>0</v>
      </c>
      <c r="P74" s="6">
        <f t="shared" si="48"/>
        <v>0</v>
      </c>
      <c r="Q74" s="47"/>
      <c r="R74" s="47">
        <f t="shared" si="45"/>
        <v>0</v>
      </c>
    </row>
    <row r="75" spans="1:18" ht="15">
      <c r="A75" s="40"/>
      <c r="B75" s="15" t="s">
        <v>64</v>
      </c>
      <c r="C75" s="55">
        <v>0.0284</v>
      </c>
      <c r="D75" s="8">
        <f>'Rate Comparison'!D75</f>
        <v>0.0020411</v>
      </c>
      <c r="E75" s="6">
        <f aca="true" t="shared" si="49" ref="E75:P75">E$7*$D$75</f>
        <v>159.65280090000002</v>
      </c>
      <c r="F75" s="6">
        <f t="shared" si="49"/>
        <v>166.0271562</v>
      </c>
      <c r="G75" s="6">
        <f t="shared" si="49"/>
        <v>118.5450469</v>
      </c>
      <c r="H75" s="6">
        <f t="shared" si="49"/>
        <v>129.48330180000002</v>
      </c>
      <c r="I75" s="6">
        <f t="shared" si="49"/>
        <v>200.10536180000003</v>
      </c>
      <c r="J75" s="6">
        <f t="shared" si="49"/>
        <v>164.48408460000002</v>
      </c>
      <c r="K75" s="6">
        <f t="shared" si="49"/>
        <v>175.4590793</v>
      </c>
      <c r="L75" s="6">
        <f t="shared" si="49"/>
        <v>174.7977629</v>
      </c>
      <c r="M75" s="6">
        <f t="shared" si="49"/>
        <v>152.7457185</v>
      </c>
      <c r="N75" s="6">
        <f t="shared" si="49"/>
        <v>142.5177664</v>
      </c>
      <c r="O75" s="6">
        <f t="shared" si="49"/>
        <v>142.9770139</v>
      </c>
      <c r="P75" s="6">
        <f t="shared" si="49"/>
        <v>140.7215984</v>
      </c>
      <c r="Q75" s="47"/>
      <c r="R75" s="47">
        <f t="shared" si="45"/>
        <v>1867.5166916</v>
      </c>
    </row>
    <row r="76" spans="1:18" ht="15">
      <c r="A76" s="40"/>
      <c r="B76" s="15" t="s">
        <v>87</v>
      </c>
      <c r="D76" s="8">
        <f>'Rate Comparison'!D76</f>
        <v>0.000986</v>
      </c>
      <c r="E76" s="6">
        <f aca="true" t="shared" si="50" ref="E76:P76">$D$76*E$7</f>
        <v>77.12393399999999</v>
      </c>
      <c r="F76" s="6">
        <f t="shared" si="50"/>
        <v>80.203212</v>
      </c>
      <c r="G76" s="6">
        <f t="shared" si="50"/>
        <v>57.265893999999996</v>
      </c>
      <c r="H76" s="6">
        <f t="shared" si="50"/>
        <v>62.549868</v>
      </c>
      <c r="I76" s="6">
        <f t="shared" si="50"/>
        <v>96.66546799999999</v>
      </c>
      <c r="J76" s="6">
        <f t="shared" si="50"/>
        <v>79.45779599999999</v>
      </c>
      <c r="K76" s="6">
        <f t="shared" si="50"/>
        <v>84.75951799999999</v>
      </c>
      <c r="L76" s="6">
        <f t="shared" si="50"/>
        <v>84.44005399999999</v>
      </c>
      <c r="M76" s="6">
        <f t="shared" si="50"/>
        <v>73.78730999999999</v>
      </c>
      <c r="N76" s="6">
        <f t="shared" si="50"/>
        <v>68.846464</v>
      </c>
      <c r="O76" s="6">
        <f t="shared" si="50"/>
        <v>69.06831399999999</v>
      </c>
      <c r="P76" s="6">
        <f t="shared" si="50"/>
        <v>67.97878399999999</v>
      </c>
      <c r="Q76" s="47"/>
      <c r="R76" s="47">
        <f t="shared" si="45"/>
        <v>902.146616</v>
      </c>
    </row>
    <row r="77" spans="1:19" ht="15">
      <c r="A77" s="41"/>
      <c r="B77" s="15" t="s">
        <v>85</v>
      </c>
      <c r="C77" s="55"/>
      <c r="D77" s="8">
        <f>'Rate Comparison'!D77</f>
        <v>0.001182</v>
      </c>
      <c r="E77" s="6">
        <f>$D77*E$7</f>
        <v>92.454858</v>
      </c>
      <c r="F77" s="6">
        <f aca="true" t="shared" si="51" ref="F77:P77">$D77*F$7</f>
        <v>96.14624400000001</v>
      </c>
      <c r="G77" s="6">
        <f t="shared" si="51"/>
        <v>68.64937800000001</v>
      </c>
      <c r="H77" s="6">
        <f t="shared" si="51"/>
        <v>74.983716</v>
      </c>
      <c r="I77" s="6">
        <f t="shared" si="51"/>
        <v>115.88091600000001</v>
      </c>
      <c r="J77" s="6">
        <f t="shared" si="51"/>
        <v>95.25265200000001</v>
      </c>
      <c r="K77" s="6">
        <f t="shared" si="51"/>
        <v>101.60826600000001</v>
      </c>
      <c r="L77" s="6">
        <f t="shared" si="51"/>
        <v>101.22529800000001</v>
      </c>
      <c r="M77" s="6">
        <f t="shared" si="51"/>
        <v>88.45497</v>
      </c>
      <c r="N77" s="6">
        <f t="shared" si="51"/>
        <v>82.531968</v>
      </c>
      <c r="O77" s="6">
        <f t="shared" si="51"/>
        <v>82.79791800000001</v>
      </c>
      <c r="P77" s="6">
        <f t="shared" si="51"/>
        <v>81.491808</v>
      </c>
      <c r="Q77" s="47"/>
      <c r="R77" s="47">
        <f t="shared" si="45"/>
        <v>1081.477992</v>
      </c>
      <c r="S77" s="20"/>
    </row>
    <row r="78" spans="1:18" ht="15">
      <c r="A78" s="40"/>
      <c r="B78" s="15" t="s">
        <v>60</v>
      </c>
      <c r="D78" s="8">
        <f>'Rate Comparison'!D78</f>
        <v>0</v>
      </c>
      <c r="E78" s="6">
        <f aca="true" t="shared" si="52" ref="E78:P78">E$7*$D$78</f>
        <v>0</v>
      </c>
      <c r="F78" s="6">
        <f t="shared" si="52"/>
        <v>0</v>
      </c>
      <c r="G78" s="6">
        <f t="shared" si="52"/>
        <v>0</v>
      </c>
      <c r="H78" s="6">
        <f t="shared" si="52"/>
        <v>0</v>
      </c>
      <c r="I78" s="6">
        <f t="shared" si="52"/>
        <v>0</v>
      </c>
      <c r="J78" s="6">
        <f t="shared" si="52"/>
        <v>0</v>
      </c>
      <c r="K78" s="6">
        <f t="shared" si="52"/>
        <v>0</v>
      </c>
      <c r="L78" s="6">
        <f t="shared" si="52"/>
        <v>0</v>
      </c>
      <c r="M78" s="6">
        <f t="shared" si="52"/>
        <v>0</v>
      </c>
      <c r="N78" s="6">
        <f t="shared" si="52"/>
        <v>0</v>
      </c>
      <c r="O78" s="6">
        <f t="shared" si="52"/>
        <v>0</v>
      </c>
      <c r="P78" s="6">
        <f t="shared" si="52"/>
        <v>0</v>
      </c>
      <c r="Q78" s="47"/>
      <c r="R78" s="47">
        <f t="shared" si="45"/>
        <v>0</v>
      </c>
    </row>
    <row r="79" spans="1:18" ht="15">
      <c r="A79" s="40"/>
      <c r="B79" s="15" t="s">
        <v>61</v>
      </c>
      <c r="D79" s="8">
        <f>'Rate Comparison'!D79</f>
        <v>0.15</v>
      </c>
      <c r="E79" s="6">
        <f aca="true" t="shared" si="53" ref="E79:P79">IF(E$7&gt;0,$D$79,0)</f>
        <v>0.15</v>
      </c>
      <c r="F79" s="6">
        <f t="shared" si="53"/>
        <v>0.15</v>
      </c>
      <c r="G79" s="6">
        <f t="shared" si="53"/>
        <v>0.15</v>
      </c>
      <c r="H79" s="6">
        <f t="shared" si="53"/>
        <v>0.15</v>
      </c>
      <c r="I79" s="6">
        <f t="shared" si="53"/>
        <v>0.15</v>
      </c>
      <c r="J79" s="6">
        <f t="shared" si="53"/>
        <v>0.15</v>
      </c>
      <c r="K79" s="6">
        <f t="shared" si="53"/>
        <v>0.15</v>
      </c>
      <c r="L79" s="6">
        <f t="shared" si="53"/>
        <v>0.15</v>
      </c>
      <c r="M79" s="6">
        <f t="shared" si="53"/>
        <v>0.15</v>
      </c>
      <c r="N79" s="6">
        <f t="shared" si="53"/>
        <v>0.15</v>
      </c>
      <c r="O79" s="6">
        <f t="shared" si="53"/>
        <v>0.15</v>
      </c>
      <c r="P79" s="6">
        <f t="shared" si="53"/>
        <v>0.15</v>
      </c>
      <c r="Q79" s="47"/>
      <c r="R79" s="47">
        <f t="shared" si="45"/>
        <v>1.7999999999999996</v>
      </c>
    </row>
    <row r="80" spans="1:18" ht="15">
      <c r="A80" s="40"/>
      <c r="B80" s="15" t="s">
        <v>83</v>
      </c>
      <c r="D80" s="8">
        <f>'Rate Comparison'!D80</f>
        <v>0.00139</v>
      </c>
      <c r="E80" s="6">
        <f aca="true" t="shared" si="54" ref="E80:P80">$D$80*E$7</f>
        <v>108.72440999999999</v>
      </c>
      <c r="F80" s="6">
        <f t="shared" si="54"/>
        <v>113.06537999999999</v>
      </c>
      <c r="G80" s="6">
        <f t="shared" si="54"/>
        <v>80.72981</v>
      </c>
      <c r="H80" s="6">
        <f t="shared" si="54"/>
        <v>88.17882</v>
      </c>
      <c r="I80" s="6">
        <f t="shared" si="54"/>
        <v>136.27282</v>
      </c>
      <c r="J80" s="6">
        <f t="shared" si="54"/>
        <v>112.01454</v>
      </c>
      <c r="K80" s="6">
        <f t="shared" si="54"/>
        <v>119.48857</v>
      </c>
      <c r="L80" s="6">
        <f t="shared" si="54"/>
        <v>119.03820999999999</v>
      </c>
      <c r="M80" s="6">
        <f t="shared" si="54"/>
        <v>104.02065</v>
      </c>
      <c r="N80" s="6">
        <f t="shared" si="54"/>
        <v>97.05536</v>
      </c>
      <c r="O80" s="6">
        <f t="shared" si="54"/>
        <v>97.36811</v>
      </c>
      <c r="P80" s="6">
        <f t="shared" si="54"/>
        <v>95.83216</v>
      </c>
      <c r="Q80" s="47"/>
      <c r="R80" s="47">
        <f t="shared" si="45"/>
        <v>1271.7888399999997</v>
      </c>
    </row>
    <row r="81" spans="1:18" ht="15">
      <c r="A81" s="40"/>
      <c r="B81" s="15" t="s">
        <v>84</v>
      </c>
      <c r="D81" s="8">
        <f>'Rate Comparison'!D81</f>
        <v>0.45</v>
      </c>
      <c r="E81" s="6">
        <f aca="true" t="shared" si="55" ref="E81:P81">$D$81*E$10</f>
        <v>149.40000000000003</v>
      </c>
      <c r="F81" s="6">
        <f t="shared" si="55"/>
        <v>161.19000000000003</v>
      </c>
      <c r="G81" s="6">
        <f t="shared" si="55"/>
        <v>117.09</v>
      </c>
      <c r="H81" s="6">
        <f t="shared" si="55"/>
        <v>142.20000000000002</v>
      </c>
      <c r="I81" s="6">
        <f t="shared" si="55"/>
        <v>158.94</v>
      </c>
      <c r="J81" s="6">
        <f t="shared" si="55"/>
        <v>152.685</v>
      </c>
      <c r="K81" s="6">
        <f t="shared" si="55"/>
        <v>181.935</v>
      </c>
      <c r="L81" s="6">
        <f t="shared" si="55"/>
        <v>205.02</v>
      </c>
      <c r="M81" s="6">
        <f t="shared" si="55"/>
        <v>184.995</v>
      </c>
      <c r="N81" s="6">
        <f t="shared" si="55"/>
        <v>141.66</v>
      </c>
      <c r="O81" s="6">
        <f t="shared" si="55"/>
        <v>133.65</v>
      </c>
      <c r="P81" s="6">
        <f t="shared" si="55"/>
        <v>97.83</v>
      </c>
      <c r="Q81" s="47"/>
      <c r="R81" s="47">
        <f t="shared" si="45"/>
        <v>1826.595</v>
      </c>
    </row>
    <row r="82" spans="1:18" ht="15">
      <c r="A82" s="40"/>
      <c r="B82" s="15" t="s">
        <v>62</v>
      </c>
      <c r="D82" s="60">
        <f>'Rate Comparison'!D82</f>
        <v>0.062297</v>
      </c>
      <c r="E82" s="6">
        <f aca="true" t="shared" si="56" ref="E82:P82">$D82*(SUM(E71:E81)-($C$75+$D$75)*E$7)</f>
        <v>310.2430187874591</v>
      </c>
      <c r="F82" s="6">
        <f t="shared" si="56"/>
        <v>325.69853687286195</v>
      </c>
      <c r="G82" s="6">
        <f t="shared" si="56"/>
        <v>235.19468134011893</v>
      </c>
      <c r="H82" s="6">
        <f t="shared" si="56"/>
        <v>264.46347944391795</v>
      </c>
      <c r="I82" s="6">
        <f t="shared" si="56"/>
        <v>371.5619525857181</v>
      </c>
      <c r="J82" s="6">
        <f t="shared" si="56"/>
        <v>318.774734413946</v>
      </c>
      <c r="K82" s="6">
        <f t="shared" si="56"/>
        <v>350.42584667224304</v>
      </c>
      <c r="L82" s="6">
        <f t="shared" si="56"/>
        <v>362.51190000367905</v>
      </c>
      <c r="M82" s="6">
        <f t="shared" si="56"/>
        <v>320.736301047035</v>
      </c>
      <c r="N82" s="6">
        <f t="shared" si="56"/>
        <v>282.18617966366406</v>
      </c>
      <c r="O82" s="6">
        <f t="shared" si="56"/>
        <v>278.31037336608904</v>
      </c>
      <c r="P82" s="6">
        <f t="shared" si="56"/>
        <v>255.01854268758402</v>
      </c>
      <c r="Q82" s="47"/>
      <c r="R82" s="47">
        <f t="shared" si="45"/>
        <v>3675.125546884316</v>
      </c>
    </row>
    <row r="83" spans="1:19" ht="15.75" thickBot="1">
      <c r="A83" s="41"/>
      <c r="B83" s="15" t="s">
        <v>63</v>
      </c>
      <c r="D83" s="59">
        <f>'Rate Comparison'!D83</f>
        <v>0.098027</v>
      </c>
      <c r="E83" s="6">
        <f aca="true" t="shared" si="57" ref="E83:P83">$D83*(SUM(E71:E81)-($C$75+$D$75)*E$7)</f>
        <v>488.1806893217692</v>
      </c>
      <c r="F83" s="6">
        <f t="shared" si="57"/>
        <v>512.500609564442</v>
      </c>
      <c r="G83" s="6">
        <f t="shared" si="57"/>
        <v>370.0889132338289</v>
      </c>
      <c r="H83" s="6">
        <f t="shared" si="57"/>
        <v>416.144621722538</v>
      </c>
      <c r="I83" s="6">
        <f t="shared" si="57"/>
        <v>584.6686602263381</v>
      </c>
      <c r="J83" s="6">
        <f t="shared" si="57"/>
        <v>501.6057095910861</v>
      </c>
      <c r="K83" s="6">
        <f t="shared" si="57"/>
        <v>551.4100915251131</v>
      </c>
      <c r="L83" s="6">
        <f t="shared" si="57"/>
        <v>570.4280145377891</v>
      </c>
      <c r="M83" s="6">
        <f t="shared" si="57"/>
        <v>504.6923187751851</v>
      </c>
      <c r="N83" s="6">
        <f t="shared" si="57"/>
        <v>444.0320502414241</v>
      </c>
      <c r="O83" s="6">
        <f t="shared" si="57"/>
        <v>437.9333028870991</v>
      </c>
      <c r="P83" s="6">
        <f t="shared" si="57"/>
        <v>401.28260885814404</v>
      </c>
      <c r="R83" s="47">
        <f t="shared" si="45"/>
        <v>5782.967590484756</v>
      </c>
      <c r="S83" s="20"/>
    </row>
    <row r="84" spans="1:18" ht="15.75" thickBot="1">
      <c r="A84" s="40"/>
      <c r="D84" s="9" t="s">
        <v>24</v>
      </c>
      <c r="E84" s="52">
        <f>SUM(E71:E83)</f>
        <v>8159.559656009229</v>
      </c>
      <c r="F84" s="52">
        <f aca="true" t="shared" si="58" ref="F84:P84">SUM(F71:F83)</f>
        <v>8542.496748637303</v>
      </c>
      <c r="G84" s="52">
        <f t="shared" si="58"/>
        <v>6148.6495684739475</v>
      </c>
      <c r="H84" s="52">
        <f t="shared" si="58"/>
        <v>6856.934696966457</v>
      </c>
      <c r="I84" s="52">
        <f t="shared" si="58"/>
        <v>9904.978668612057</v>
      </c>
      <c r="J84" s="52">
        <f t="shared" si="58"/>
        <v>8390.522746605033</v>
      </c>
      <c r="K84" s="52">
        <f t="shared" si="58"/>
        <v>9143.728036497356</v>
      </c>
      <c r="L84" s="52">
        <f t="shared" si="58"/>
        <v>9358.976084441469</v>
      </c>
      <c r="M84" s="52">
        <f t="shared" si="58"/>
        <v>8251.99149332222</v>
      </c>
      <c r="N84" s="52">
        <f t="shared" si="58"/>
        <v>7381.428908305089</v>
      </c>
      <c r="O84" s="52">
        <f t="shared" si="58"/>
        <v>7316.088627153189</v>
      </c>
      <c r="P84" s="52">
        <f t="shared" si="58"/>
        <v>6848.625021945729</v>
      </c>
      <c r="Q84" s="53"/>
      <c r="R84" s="54">
        <f>SUM(E84:P84)</f>
        <v>96303.98025696907</v>
      </c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Lpoteat</dc:creator>
  <cp:keywords/>
  <dc:description/>
  <cp:lastModifiedBy>Willhite, Ron - KSBA</cp:lastModifiedBy>
  <cp:lastPrinted>2015-04-10T16:28:40Z</cp:lastPrinted>
  <dcterms:created xsi:type="dcterms:W3CDTF">2013-10-16T13:39:05Z</dcterms:created>
  <dcterms:modified xsi:type="dcterms:W3CDTF">2015-04-22T09:47:45Z</dcterms:modified>
  <cp:category/>
  <cp:version/>
  <cp:contentType/>
  <cp:contentStatus/>
</cp:coreProperties>
</file>