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40" windowWidth="11496" windowHeight="1176" tabRatio="945" activeTab="8"/>
  </bookViews>
  <sheets>
    <sheet name="Summary" sheetId="1" r:id="rId1"/>
    <sheet name="ES 1.0" sheetId="2" r:id="rId2"/>
    <sheet name="ES 1.10" sheetId="3" r:id="rId3"/>
    <sheet name="ES 3.00" sheetId="4" r:id="rId4"/>
    <sheet name="ES 3.11 A" sheetId="5" r:id="rId5"/>
    <sheet name="ES 3.11 B " sheetId="6" r:id="rId6"/>
    <sheet name="ES 3.12 A" sheetId="7" r:id="rId7"/>
    <sheet name="ES 3.12 B" sheetId="8" r:id="rId8"/>
    <sheet name="ES 3.13" sheetId="9" r:id="rId9"/>
    <sheet name="ES 3.15 " sheetId="10" r:id="rId10"/>
    <sheet name="ES 3.20" sheetId="11" r:id="rId11"/>
    <sheet name="ES 3.21" sheetId="12" r:id="rId12"/>
    <sheet name="ES 3.30" sheetId="13" r:id="rId13"/>
    <sheet name="ES 3.31" sheetId="14" r:id="rId14"/>
    <sheet name="ES 3.32" sheetId="15" r:id="rId15"/>
    <sheet name="Working Cash Capital" sheetId="16" r:id="rId16"/>
  </sheets>
  <externalReferences>
    <externalReference r:id="rId19"/>
    <externalReference r:id="rId20"/>
  </externalReferences>
  <definedNames>
    <definedName name="Marshall_Rate">'[2]Property Tax'!$B$2</definedName>
    <definedName name="PC_Percent">'[2]Property Tax'!$B$6</definedName>
    <definedName name="_xlnm.Print_Area" localSheetId="1">'ES 1.0'!$A$9:$I$60</definedName>
    <definedName name="_xlnm.Print_Area" localSheetId="2">'ES 1.10'!$A$1:$G$30</definedName>
    <definedName name="_xlnm.Print_Area" localSheetId="4">'ES 3.11 A'!$A$1:$J$40</definedName>
    <definedName name="_xlnm.Print_Area" localSheetId="5">'ES 3.11 B '!$A$1:$J$38</definedName>
    <definedName name="_xlnm.Print_Area" localSheetId="6">'ES 3.12 A'!$A$1:$I$31</definedName>
    <definedName name="_xlnm.Print_Area" localSheetId="7">'ES 3.12 B'!$A$1:$J$32</definedName>
    <definedName name="_xlnm.Print_Area" localSheetId="8">'ES 3.13'!$A$2:$K$49</definedName>
    <definedName name="_xlnm.Print_Area" localSheetId="10">'ES 3.20'!$A$1:$H$35</definedName>
    <definedName name="_xlnm.Print_Area" localSheetId="11">'ES 3.21'!$A$1:$T$60</definedName>
    <definedName name="_xlnm.Print_Area" localSheetId="12">'ES 3.30'!$A$1:$I$46</definedName>
    <definedName name="_xlnm.Print_Area" localSheetId="0">'Summary'!$A$1:$I$41</definedName>
    <definedName name="_xlnm.Print_Titles" localSheetId="1">'ES 1.0'!$1:$8</definedName>
    <definedName name="tim">#REF!</definedName>
    <definedName name="WV_List">'[2]Property Tax'!$B$4</definedName>
  </definedNames>
  <calcPr fullCalcOnLoad="1"/>
</workbook>
</file>

<file path=xl/sharedStrings.xml><?xml version="1.0" encoding="utf-8"?>
<sst xmlns="http://schemas.openxmlformats.org/spreadsheetml/2006/main" count="599" uniqueCount="342">
  <si>
    <t>ES FORM 3.30</t>
  </si>
  <si>
    <t>ES FORM 3.21</t>
  </si>
  <si>
    <t>ACCTS REC FINANCING</t>
  </si>
  <si>
    <t>ES FORM 3.15</t>
  </si>
  <si>
    <t>ES FORM   3.00</t>
  </si>
  <si>
    <t>MONTHLY REVENUES, JURISDICTIONAL ALLOCATION FACTOR,</t>
  </si>
  <si>
    <t>SCHEDULE OF MONTHLY REVENUES</t>
  </si>
  <si>
    <r>
      <t xml:space="preserve">Effective Date for Billing:                                   </t>
    </r>
    <r>
      <rPr>
        <sz val="10"/>
        <color indexed="12"/>
        <rFont val="Arial"/>
        <family val="2"/>
      </rPr>
      <t xml:space="preserve"> February 29, 2012</t>
    </r>
  </si>
  <si>
    <t>ENDING INVENTORY - Record Balance in Column (4) on ES FORM 3.10, Line 5</t>
  </si>
  <si>
    <t>to be recorded on ES FORM 1.00, Lines 9 and 4.  The Percentage of Kentucky Retail</t>
  </si>
  <si>
    <t>ES FORM 1.00</t>
  </si>
  <si>
    <t>CRR from ES FORM 3.00</t>
  </si>
  <si>
    <t>Kentucky Retail Jurisdictional Allocation Factor,                                                from ES FORM 3.30, Schedule of Revenues, LINE 1</t>
  </si>
  <si>
    <t>ROCKPORT UNIT POWER AGREEMENT COST OF CAPITAL</t>
  </si>
  <si>
    <t>Component</t>
  </si>
  <si>
    <t>Balances</t>
  </si>
  <si>
    <t>Cap. Structures</t>
  </si>
  <si>
    <t>Cost                                                Rates</t>
  </si>
  <si>
    <t>WACC           (NET OF TAX)</t>
  </si>
  <si>
    <t>WACC                              (PRE - TAX)</t>
  </si>
  <si>
    <t>Case No. 2009-00459, dated June 28, 2010</t>
  </si>
  <si>
    <t>WACC = Weighted Average Cost of Capital</t>
  </si>
  <si>
    <t>Cost Rates per the Provisions of the Rockport Unit Power Agreement</t>
  </si>
  <si>
    <t>Gross Revenue Conversion Factor (GRCF) Calculation:</t>
  </si>
  <si>
    <t>Cap.                                Structure</t>
  </si>
  <si>
    <t>WACC                                              (Net of Tax)</t>
  </si>
  <si>
    <t>WACC       (PRE-TAX)</t>
  </si>
  <si>
    <t xml:space="preserve"> </t>
  </si>
  <si>
    <t xml:space="preserve">       (LINE 1 X .085)</t>
  </si>
  <si>
    <t>LESS:   INDIANA ADJUSTED GROSS INCOME</t>
  </si>
  <si>
    <t>The WACC (PRE - TAX) value on Line 6 is to be recorded on ES FORM 3.20, Line 7.</t>
  </si>
  <si>
    <t>INDIANA ADJUSTED GROSS INCOME of 8.5% became effective January 1, 2003.</t>
  </si>
  <si>
    <t>NOTE:</t>
  </si>
  <si>
    <t xml:space="preserve">Jurisdictional Allocation Factor.  </t>
  </si>
  <si>
    <t>Cash Working Capital Allowance</t>
  </si>
  <si>
    <t>Monthly Catalyst Amortization Expense</t>
  </si>
  <si>
    <t xml:space="preserve">   NOx Emissions Allowance                               Adjustment</t>
  </si>
  <si>
    <t xml:space="preserve">Surcharge Amount To Be Collected  </t>
  </si>
  <si>
    <t>Total Net Gain or (Loss) from Emission Allowance Sales</t>
  </si>
  <si>
    <t>Kentucky Power Company</t>
  </si>
  <si>
    <t xml:space="preserve">   ERC Consumed By Kentucky Power </t>
  </si>
  <si>
    <t>The WACC (PRE - TAX) value on Line 5 is to be recorded on ES FORM 3.10, Line 9.</t>
  </si>
  <si>
    <t>ENDING INVENTORY - Record Balance in Column (4) on                                                          ES FORM 3.10, Line 5</t>
  </si>
  <si>
    <t xml:space="preserve">   SO2 Emissions Allowance                               Adjustment</t>
  </si>
  <si>
    <t>KENTUCKY POWER COMPANY - ENVIRONMENTAL SURCHARGE REPORT</t>
  </si>
  <si>
    <t xml:space="preserve">CAPITALIZATION                   OFFSETS                            </t>
  </si>
  <si>
    <t>.</t>
  </si>
  <si>
    <t>Balance                                       Sheet</t>
  </si>
  <si>
    <t>Mitchell</t>
  </si>
  <si>
    <t>ES FORM   3.12 B</t>
  </si>
  <si>
    <t>Description</t>
  </si>
  <si>
    <t>Kentucky Retail Revenues</t>
  </si>
  <si>
    <t>FERC Wholesale Revenues</t>
  </si>
  <si>
    <t>Associated Utilities Revenues</t>
  </si>
  <si>
    <t>Non-Assoc. Utilities Revenues</t>
  </si>
  <si>
    <t>Monthly Revenues</t>
  </si>
  <si>
    <t>Percentage of Total Revenues</t>
  </si>
  <si>
    <t>Line No.</t>
  </si>
  <si>
    <t>L/T DEBT</t>
  </si>
  <si>
    <t>LINE NO.</t>
  </si>
  <si>
    <t>S/T DEBT</t>
  </si>
  <si>
    <t>DEBT</t>
  </si>
  <si>
    <t>C EQUITY</t>
  </si>
  <si>
    <t>TOTAL</t>
  </si>
  <si>
    <t>==========</t>
  </si>
  <si>
    <t>-------------------</t>
  </si>
  <si>
    <t>GRCF</t>
  </si>
  <si>
    <t>1/</t>
  </si>
  <si>
    <t>2/</t>
  </si>
  <si>
    <t>OPERATING REVENUE</t>
  </si>
  <si>
    <t>INCOME BEFORE FED INC TAX</t>
  </si>
  <si>
    <t>LESS:   FEDERAL INCOME TAX</t>
  </si>
  <si>
    <t>OPERATING INCOME PERCENTAGE</t>
  </si>
  <si>
    <t>GROSS REVENUE CONVERSION</t>
  </si>
  <si>
    <t xml:space="preserve">       (LINE 4 X .35)</t>
  </si>
  <si>
    <t>CURRENT PERIOD REVENUE REQUIREMENT</t>
  </si>
  <si>
    <t>The Kentucky Retail Monthly Revenues and Percentage of Total Revenues (Line 1) are</t>
  </si>
  <si>
    <t>Revenues to the Total Revenues for the Expense Month will be the Kentucky Retail</t>
  </si>
  <si>
    <t xml:space="preserve">                             OVER/(UNDER) RECOVERY ADJUSTMENT</t>
  </si>
  <si>
    <t>Less Accumulated Depreciation</t>
  </si>
  <si>
    <t>Total Rate Base</t>
  </si>
  <si>
    <t>Brr from ES FORM 1.10</t>
  </si>
  <si>
    <t>MONTHLY BASE PERIOD REVENUE REQUIREMENT</t>
  </si>
  <si>
    <t>ES FORM   1.10</t>
  </si>
  <si>
    <t>Base Net                               Environmental                       Costs</t>
  </si>
  <si>
    <t>Billing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</si>
  <si>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</si>
  <si>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</si>
  <si>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</si>
  <si>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</si>
  <si>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</si>
  <si>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</si>
  <si>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</si>
  <si>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</si>
  <si>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</si>
  <si>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</si>
  <si>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</si>
  <si>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</si>
  <si>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Depreciation Expense</t>
  </si>
  <si>
    <t>Allowance Activity in Month</t>
  </si>
  <si>
    <t>(1)</t>
  </si>
  <si>
    <t>Weighted Average Cost</t>
  </si>
  <si>
    <t xml:space="preserve">Additions - </t>
  </si>
  <si>
    <t xml:space="preserve">   EPA Allowances</t>
  </si>
  <si>
    <t xml:space="preserve">   Gavin Reallocation</t>
  </si>
  <si>
    <t xml:space="preserve">   P &amp; E Transfers In</t>
  </si>
  <si>
    <t xml:space="preserve">   Intercompany Purchases</t>
  </si>
  <si>
    <t xml:space="preserve">   Other (List)</t>
  </si>
  <si>
    <t xml:space="preserve">Withdrawals - </t>
  </si>
  <si>
    <t xml:space="preserve">   P &amp; E Transfers Out</t>
  </si>
  <si>
    <t xml:space="preserve">   Intercompany Sales</t>
  </si>
  <si>
    <t xml:space="preserve">   Off - System Sales</t>
  </si>
  <si>
    <t>Net Utility Plant</t>
  </si>
  <si>
    <t>COMPONENTS</t>
  </si>
  <si>
    <t>Total Current Period Revenue Requirement, CRR Record</t>
  </si>
  <si>
    <t>------------------</t>
  </si>
  <si>
    <t>Utility Plant at Original Cost</t>
  </si>
  <si>
    <t>LINE</t>
  </si>
  <si>
    <t>CALCULATION OF E(m) and SURCHARGE FACTOR</t>
  </si>
  <si>
    <t>CALCULATION OF E(m)</t>
  </si>
  <si>
    <t>E(m) = CRR - BRR</t>
  </si>
  <si>
    <t>KY Retail E(m) (LINE 3 * LINE 4)</t>
  </si>
  <si>
    <t xml:space="preserve">Submitted By : </t>
  </si>
  <si>
    <t>________________________________</t>
  </si>
  <si>
    <t xml:space="preserve">                         BASE PERIOD REVENUE REQUIREMENT</t>
  </si>
  <si>
    <t>Monthly Property Tax</t>
  </si>
  <si>
    <t>Total</t>
  </si>
  <si>
    <t>CALCULATION OF CURRENT PERIOD REVENUE REQUIREMENT</t>
  </si>
  <si>
    <r>
      <t xml:space="preserve">Second Component:   </t>
    </r>
    <r>
      <rPr>
        <sz val="10"/>
        <rFont val="Arial"/>
        <family val="2"/>
      </rPr>
      <t>Associated with Rockport Plant</t>
    </r>
  </si>
  <si>
    <t xml:space="preserve">                           Expense Month</t>
  </si>
  <si>
    <t xml:space="preserve">                   Total Net Proceeds from SO2 Allowances</t>
  </si>
  <si>
    <t xml:space="preserve">                   Total Net Proceeds from NOx Allowances</t>
  </si>
  <si>
    <t xml:space="preserve">   External Purchases</t>
  </si>
  <si>
    <t xml:space="preserve">   SO2 Emissions Allowances                                      Consumed By Kentucky Power - 1:1                           (Year 2009 &amp; Prior)</t>
  </si>
  <si>
    <t xml:space="preserve">   SO2 Emissions Allowances                                                   Consumed By Kentucky Power - 2:1                               (Years 2010 to 2014) </t>
  </si>
  <si>
    <t>SO2 EMISSIONS ALLOWANCE INVENTORY</t>
  </si>
  <si>
    <t>Non-Physical Revenues for Month</t>
  </si>
  <si>
    <t>Total Revenues for Month</t>
  </si>
  <si>
    <t>Total Revenues for Surcharges Purposes</t>
  </si>
  <si>
    <t xml:space="preserve">   P&amp;E Transfers In</t>
  </si>
  <si>
    <t xml:space="preserve">   NOx Consumed By Kentucky Power </t>
  </si>
  <si>
    <t>*</t>
  </si>
  <si>
    <t xml:space="preserve">Big Sandy </t>
  </si>
  <si>
    <t>Rockport</t>
  </si>
  <si>
    <t>Emitted Tons</t>
  </si>
  <si>
    <t>Percentage of Total Tons Emitted</t>
  </si>
  <si>
    <t>Total KPCo SO2 Costs for Month:</t>
  </si>
  <si>
    <t>Dollars Allocated to Each Plant</t>
  </si>
  <si>
    <t>Allowances Allocated to Each Plant</t>
  </si>
  <si>
    <t>Total KPCo Allowances Consumed:</t>
  </si>
  <si>
    <t>Plant</t>
  </si>
  <si>
    <t>Total KPCo AN Costs for Month:</t>
  </si>
  <si>
    <t>Big Sandy Annual NOx Emission Allowance Consumption</t>
  </si>
  <si>
    <t>Big Sandy Seasonal NOx Emission Allowance Consumption</t>
  </si>
  <si>
    <t>Total KPCo NX Costs for Month:</t>
  </si>
  <si>
    <t>MONTHLY BEGINNING INVENTORY</t>
  </si>
  <si>
    <t xml:space="preserve">Dollar Value </t>
  </si>
  <si>
    <t>Dollar Value</t>
  </si>
  <si>
    <t xml:space="preserve">Dollar Value                         </t>
  </si>
  <si>
    <t>ES FORM   3.12 A</t>
  </si>
  <si>
    <t>Date Submitted :                                      December 22, 2014</t>
  </si>
  <si>
    <t>=</t>
  </si>
  <si>
    <t>All Other Classes</t>
  </si>
  <si>
    <t>Total Billed Revenues</t>
  </si>
  <si>
    <t xml:space="preserve">As Used in Calculation of ES Form 3.30 </t>
  </si>
  <si>
    <t>Calendar Year 2014</t>
  </si>
  <si>
    <t>Revenue Category</t>
  </si>
  <si>
    <t>Residential</t>
  </si>
  <si>
    <t>Total Retail Revenues</t>
  </si>
  <si>
    <t>Non Associated Utilities Revenues</t>
  </si>
  <si>
    <t>Non-Physical Sales</t>
  </si>
  <si>
    <t>Total Revenues</t>
  </si>
  <si>
    <r>
      <t xml:space="preserve">Residential/ All Other Classes to be used in </t>
    </r>
    <r>
      <rPr>
        <b/>
        <u val="single"/>
        <sz val="10"/>
        <rFont val="Arial"/>
        <family val="2"/>
      </rPr>
      <t>2015</t>
    </r>
  </si>
  <si>
    <r>
      <rPr>
        <sz val="10"/>
        <rFont val="Arial"/>
        <family val="2"/>
      </rPr>
      <t xml:space="preserve">Percentage of </t>
    </r>
    <r>
      <rPr>
        <u val="single"/>
        <sz val="10"/>
        <rFont val="Arial"/>
        <family val="2"/>
      </rPr>
      <t>Total</t>
    </r>
  </si>
  <si>
    <t xml:space="preserve">LINE </t>
  </si>
  <si>
    <t>KENTUCKY POWER COMPANY</t>
  </si>
  <si>
    <t>Summary</t>
  </si>
  <si>
    <t>Month Ended:</t>
  </si>
  <si>
    <t>Effective Date for Billing</t>
  </si>
  <si>
    <t>Submitted by:</t>
  </si>
  <si>
    <t>(Signature)</t>
  </si>
  <si>
    <t>Title:</t>
  </si>
  <si>
    <t>``</t>
  </si>
  <si>
    <t>Date Submitted:</t>
  </si>
  <si>
    <t>Residential Environmental Surcharge Factor</t>
  </si>
  <si>
    <t>All Other Classes Environmental Surcharge Factor</t>
  </si>
  <si>
    <t>SAMPLE--FOR ILLUSTRATIVE PURPOSES ONLY</t>
  </si>
  <si>
    <t>Environmental Surcharge</t>
  </si>
  <si>
    <t>SAMPLE ONLY</t>
  </si>
  <si>
    <r>
      <rPr>
        <b/>
        <sz val="10"/>
        <rFont val="Arial"/>
        <family val="2"/>
      </rPr>
      <t>Line</t>
    </r>
    <r>
      <rPr>
        <b/>
        <u val="single"/>
        <sz val="10"/>
        <rFont val="Arial"/>
        <family val="2"/>
      </rPr>
      <t xml:space="preserve"> No.</t>
    </r>
  </si>
  <si>
    <t>A.  Residential Revenue Calculation</t>
  </si>
  <si>
    <t xml:space="preserve">   Revenue Class 010</t>
  </si>
  <si>
    <t>+ Revenue Class 020</t>
  </si>
  <si>
    <t>(+)</t>
  </si>
  <si>
    <t>Current Month Residential Retail Revenue</t>
  </si>
  <si>
    <t>Less Environmental Surcharge Revenues</t>
  </si>
  <si>
    <t>(-)</t>
  </si>
  <si>
    <t>Total Current Month Residential Revenues</t>
  </si>
  <si>
    <t>B.  All Other Revenue Calculation</t>
  </si>
  <si>
    <t>Less Residential Revenue (Rev Class 010 and 020)</t>
  </si>
  <si>
    <t>Non-Residential Retail Revenues</t>
  </si>
  <si>
    <t>Non-Residential Fuel Revenue Calculation:</t>
  </si>
  <si>
    <t>Total Retail kWh</t>
  </si>
  <si>
    <t>Less Residential (Rev Class 010 + 020 kWh)</t>
  </si>
  <si>
    <t>Non-Residential kWh</t>
  </si>
  <si>
    <t>Base Fuel Amount</t>
  </si>
  <si>
    <t xml:space="preserve">Non-Residential Embedded Fuel Revenues (Ln 11 * Ln 12) </t>
  </si>
  <si>
    <t>Plus FAC Revenues</t>
  </si>
  <si>
    <t xml:space="preserve">Total Non-Residential Fuel Revenues </t>
  </si>
  <si>
    <t>Non-Residential Non-fuel Revenues (Ln 8  - Ln 15 )</t>
  </si>
  <si>
    <t>Total Current Month All Other Revenues</t>
  </si>
  <si>
    <t>ES 3.32</t>
  </si>
  <si>
    <t xml:space="preserve">       MITCHELL PLANT COST OF CAPITAL</t>
  </si>
  <si>
    <t>As of                                           9/30/2014</t>
  </si>
  <si>
    <t>***</t>
  </si>
  <si>
    <t>**</t>
  </si>
  <si>
    <t>Operating Revenues</t>
  </si>
  <si>
    <t>Less Uncollectible Accounts Expense</t>
  </si>
  <si>
    <t>KPSC Maintenance Assessment Fee</t>
  </si>
  <si>
    <t>Income Before Income Taxes</t>
  </si>
  <si>
    <t>Rate of Return on Common Equity proposed in Case No. 2014-00396</t>
  </si>
  <si>
    <t>Gross Revenue Conversion Factor (GRCF) Calculation as reflected in Section V, Schedule 2, Workpaper S-2, Page 2 of 3.</t>
  </si>
  <si>
    <t>Gross Up for PSC Maintenance Assessment Fee &amp; Uncollectible Expense</t>
  </si>
  <si>
    <t>Weighted Average Cost of Captial Balances As of 9/30/2014 based on Case No. 2014-00396, Dated xxxxxxxxxxxxxx.</t>
  </si>
  <si>
    <t>Total Revenue Requirement</t>
  </si>
  <si>
    <t>Total Monthly Other Expenses</t>
  </si>
  <si>
    <t>Total Monthly Maintenance Expense</t>
  </si>
  <si>
    <t>Monthly Non-FGD Maintenance Expense</t>
  </si>
  <si>
    <t>--</t>
  </si>
  <si>
    <t>Monthly FGD Maintenance Expense</t>
  </si>
  <si>
    <t>Total Monthly Operation Costs</t>
  </si>
  <si>
    <t>SO2 Consumption</t>
  </si>
  <si>
    <t>Monthly WV Air Emission Fee</t>
  </si>
  <si>
    <t>Monthly Lime Hydrate Expense (5020007)</t>
  </si>
  <si>
    <t>Monthly Polymer Expense (5020005)</t>
  </si>
  <si>
    <t>Monthly Lime Stone Expense (5020004)</t>
  </si>
  <si>
    <t>Monthly Trona Expense (5020003)</t>
  </si>
  <si>
    <t>Monthly Urea Expense (5020002)</t>
  </si>
  <si>
    <t>Monthly Disposal (5010000)</t>
  </si>
  <si>
    <t>Monthly Return on Rate Base</t>
  </si>
  <si>
    <t>Check</t>
  </si>
  <si>
    <t>Monthly Weighted Avg. Cost of Capital</t>
  </si>
  <si>
    <t>Weighted Average Cost of Capital</t>
  </si>
  <si>
    <t>Less Accumulated Deferred Income Tax</t>
  </si>
  <si>
    <t>Cost Component</t>
  </si>
  <si>
    <t>Total Costs</t>
  </si>
  <si>
    <t>FGD Costs</t>
  </si>
  <si>
    <t>Non-FGD Costs</t>
  </si>
  <si>
    <t>Ln. No.</t>
  </si>
  <si>
    <t>Mitchell Environmental Costs</t>
  </si>
  <si>
    <t>SO2 Emission Allowance Consumption</t>
  </si>
  <si>
    <r>
      <t xml:space="preserve">First Component:   </t>
    </r>
    <r>
      <rPr>
        <sz val="10"/>
        <rFont val="Arial"/>
        <family val="2"/>
      </rPr>
      <t>Associated with Mitchell Non-FGD expenses</t>
    </r>
  </si>
  <si>
    <t>SURCHARGE FACTORS</t>
  </si>
  <si>
    <t>E(m) (LINE 1 - LINE 2 + LINE 3)</t>
  </si>
  <si>
    <t>Under/ (Over) Collection, ES Form 3.30</t>
  </si>
  <si>
    <t>Current Month's Allocation E(m)</t>
  </si>
  <si>
    <t>R</t>
  </si>
  <si>
    <t>Kentucky Residential Revenues/All Other Non-Fuel Revenues</t>
  </si>
  <si>
    <t>CSAPR S02 Consumption</t>
  </si>
  <si>
    <r>
      <t>All Other</t>
    </r>
    <r>
      <rPr>
        <u val="single"/>
        <sz val="10"/>
        <rFont val="Arial"/>
        <family val="2"/>
      </rPr>
      <t xml:space="preserve"> Classifications</t>
    </r>
  </si>
  <si>
    <t>Surcharge Factors</t>
  </si>
  <si>
    <t xml:space="preserve">  </t>
  </si>
  <si>
    <t>Rockport Environmental Costs</t>
  </si>
  <si>
    <t>Monthly Activated Carbon (5020008)</t>
  </si>
  <si>
    <t>Monthly Brominated Sodium Bicarbonate (5020028)</t>
  </si>
  <si>
    <t>Effective Date for Billing:                                   SAMPLE ONLY</t>
  </si>
  <si>
    <t xml:space="preserve">Title :                                                </t>
  </si>
  <si>
    <t>Monthly Maintenance Expense</t>
  </si>
  <si>
    <t>ES Form 3.31</t>
  </si>
  <si>
    <t>KPCo Share of Environmental Revenue Requirement</t>
  </si>
  <si>
    <t>CSAPR SO2 EMISSIONS ALLOWANCE INVENTORY</t>
  </si>
  <si>
    <t>ES FORM   3.11A</t>
  </si>
  <si>
    <t>Monthly IN Air Emission Fee</t>
  </si>
  <si>
    <t>Gross Up Factor  (100.00/Ln 9)</t>
  </si>
  <si>
    <t>Debt</t>
  </si>
  <si>
    <t>Equity</t>
  </si>
  <si>
    <t>Less State Income Taxes (Ln 4 x 5.7348)</t>
  </si>
  <si>
    <t>Income Before Federal Income Taxes</t>
  </si>
  <si>
    <t>Section 199 Deduction</t>
  </si>
  <si>
    <t>Taxable Income for Federal Income Taxes</t>
  </si>
  <si>
    <t>Less Federal Income Taxes (Ln 13*35%)</t>
  </si>
  <si>
    <t>Operating  Income Percentage</t>
  </si>
  <si>
    <t xml:space="preserve">   CSAPR SO2 Emissions Allowances                                                   Consumed in Current Month</t>
  </si>
  <si>
    <t>*SO2 Emission Allowance Inventory</t>
  </si>
  <si>
    <t>*CSAPR S02 Emission Allowance Inventory</t>
  </si>
  <si>
    <t>*CSAPR NOx Emission Allowance Inventory</t>
  </si>
  <si>
    <t>Sample Only</t>
  </si>
  <si>
    <t>Under/Over</t>
  </si>
  <si>
    <t>Includes Consumption for Rockport and Mitchell plants only. Big Sandy allowance consumption is recovered through the BS1OR.</t>
  </si>
  <si>
    <t>Inventory Includes Total Kentucky Power allowances inventory.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</si>
  <si>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</si>
  <si>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</si>
  <si>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</si>
  <si>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</si>
  <si>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</si>
  <si>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</si>
  <si>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</si>
  <si>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</si>
  <si>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</si>
  <si>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</si>
  <si>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</si>
  <si>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</si>
  <si>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Net KY Retail E(m) (Line 6 + Line 7)</t>
  </si>
  <si>
    <t>For the Expense Month of Sample Only</t>
  </si>
  <si>
    <t>ES FORM   3.13</t>
  </si>
  <si>
    <t>As of                                         4/30/2015</t>
  </si>
  <si>
    <t>Mitchell FGD</t>
  </si>
  <si>
    <t>Mitchell Non-FGD</t>
  </si>
  <si>
    <t>Less Residential BSRR Revenues</t>
  </si>
  <si>
    <t>Less Residential PPA Revenues</t>
  </si>
  <si>
    <t>Less All Other Classifications BSRR Revenues</t>
  </si>
  <si>
    <t xml:space="preserve">Less All Other Classifications PPA Revenues </t>
  </si>
  <si>
    <t xml:space="preserve">Billed Revenue Calculations </t>
  </si>
  <si>
    <t>1/8 of 12 Month Total</t>
  </si>
  <si>
    <t>*CSAPR AN Emission Allowance Inventory</t>
  </si>
  <si>
    <t>CSAPR Annual NOx EMISSIONS ALLOWANCE INVENTORY</t>
  </si>
  <si>
    <t>CSAPR Seasonal NOx EMISSIONS ALLOWANCE INVENTORY</t>
  </si>
  <si>
    <t>Allocation Factors, % of revenue during previous Calendar Year</t>
  </si>
  <si>
    <t>Cash Working Capital Calculation</t>
  </si>
  <si>
    <t>ES FORM   3.11 A</t>
  </si>
  <si>
    <t>Actual Billed Environmental Surcharge Revenues</t>
  </si>
  <si>
    <t xml:space="preserve">Property Tax </t>
  </si>
  <si>
    <t>CSAPR Seasonal Nox Consumption</t>
  </si>
  <si>
    <t>CSAPR Annual Nox consumption</t>
  </si>
  <si>
    <r>
      <t xml:space="preserve">Third Component:   </t>
    </r>
    <r>
      <rPr>
        <sz val="10"/>
        <rFont val="Arial"/>
        <family val="2"/>
      </rPr>
      <t xml:space="preserve">Net Proceeds from Emission Allowances Sales                                            </t>
    </r>
    <r>
      <rPr>
        <b/>
        <sz val="10"/>
        <rFont val="Arial"/>
        <family val="2"/>
      </rPr>
      <t xml:space="preserve">                                                        </t>
    </r>
  </si>
  <si>
    <t xml:space="preserve">LINE  </t>
  </si>
  <si>
    <t>on ES FORM 1.00.</t>
  </si>
  <si>
    <t xml:space="preserve">              received during Expense Month</t>
  </si>
  <si>
    <t xml:space="preserve">                       during Expense Month</t>
  </si>
  <si>
    <r>
      <t xml:space="preserve">       3)   </t>
    </r>
    <r>
      <rPr>
        <b/>
        <sz val="10"/>
        <rFont val="Arial"/>
        <family val="2"/>
      </rPr>
      <t>NOx</t>
    </r>
    <r>
      <rPr>
        <sz val="10"/>
        <rFont val="Arial"/>
        <family val="0"/>
      </rPr>
      <t xml:space="preserve"> - EPA Auction Proceeds, received during Expense Month </t>
    </r>
  </si>
  <si>
    <r>
      <t xml:space="preserve">       4)   </t>
    </r>
    <r>
      <rPr>
        <b/>
        <sz val="10"/>
        <rFont val="Arial"/>
        <family val="2"/>
      </rPr>
      <t>NOx</t>
    </r>
    <r>
      <rPr>
        <sz val="10"/>
        <rFont val="Arial"/>
        <family val="0"/>
      </rPr>
      <t xml:space="preserve"> - Net Gain or (Loss) from NOx Allowances Sales, received</t>
    </r>
  </si>
  <si>
    <r>
      <t xml:space="preserve">       1)   </t>
    </r>
    <r>
      <rPr>
        <b/>
        <sz val="10"/>
        <rFont val="Arial"/>
        <family val="2"/>
      </rPr>
      <t>CAIR SO2</t>
    </r>
    <r>
      <rPr>
        <sz val="10"/>
        <rFont val="Arial"/>
        <family val="0"/>
      </rPr>
      <t xml:space="preserve"> - EPA Auction Proceeds received during</t>
    </r>
  </si>
  <si>
    <r>
      <t xml:space="preserve">       2)</t>
    </r>
    <r>
      <rPr>
        <b/>
        <sz val="10"/>
        <rFont val="Arial"/>
        <family val="2"/>
      </rPr>
      <t xml:space="preserve">  CSAPR SO2</t>
    </r>
    <r>
      <rPr>
        <sz val="10"/>
        <rFont val="Arial"/>
        <family val="0"/>
      </rPr>
      <t xml:space="preserve"> - Net Gain or (Loss) from Allowance Sales, </t>
    </r>
  </si>
  <si>
    <t>The (Over)/Under Recovery amount is to be recorded on ES FORM 1.00, LINE 7.</t>
  </si>
  <si>
    <t>(Over) / Under Recovery (1) - (2) = (3)</t>
  </si>
  <si>
    <t xml:space="preserve">       FACTOR   (100% / LINE 13)</t>
  </si>
  <si>
    <t>Mitchell FGD Expenses (E.S. Form 3.13, Line 33)</t>
  </si>
  <si>
    <r>
      <t xml:space="preserve">       </t>
    </r>
    <r>
      <rPr>
        <b/>
        <sz val="10"/>
        <rFont val="Arial"/>
        <family val="2"/>
      </rPr>
      <t>ES FORM 3.13</t>
    </r>
    <r>
      <rPr>
        <sz val="10"/>
        <rFont val="Arial"/>
        <family val="0"/>
      </rPr>
      <t>, Line 33</t>
    </r>
  </si>
  <si>
    <t xml:space="preserve">        [((RB IM(C)) (ROR IM(C)/12)) + OE IM(C)]</t>
  </si>
  <si>
    <r>
      <t xml:space="preserve">       </t>
    </r>
    <r>
      <rPr>
        <b/>
        <sz val="10"/>
        <rFont val="Arial"/>
        <family val="2"/>
      </rPr>
      <t>ES FORM 3.20</t>
    </r>
    <r>
      <rPr>
        <sz val="10"/>
        <rFont val="Arial"/>
        <family val="0"/>
      </rPr>
      <t>, Line 20</t>
    </r>
  </si>
  <si>
    <t>and (OVER)/UNDER RECOVERY ADJUSTMENT</t>
  </si>
  <si>
    <t>*Indiana does not currently assess property taxes on environmental controls.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</si>
</sst>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00_);\(#,##0.000000\)"/>
    <numFmt numFmtId="166" formatCode="#,##0.000_);\(#,##0.000\)"/>
    <numFmt numFmtId="167" formatCode="#,##0.0000_);\(#,##0.0000\)"/>
    <numFmt numFmtId="168" formatCode="0.0000%"/>
    <numFmt numFmtId="169" formatCode="0.000%"/>
    <numFmt numFmtId="170" formatCode="#,##0.00000_);\(#,##0.00000\)"/>
    <numFmt numFmtId="171" formatCode="&quot;$&quot;#,##0"/>
    <numFmt numFmtId="172" formatCode="#,##0.0000000_);\(#,##0.0000000\)"/>
    <numFmt numFmtId="173" formatCode="0.0000"/>
    <numFmt numFmtId="174" formatCode="0.000000%"/>
    <numFmt numFmtId="175" formatCode="0.00000%"/>
    <numFmt numFmtId="176" formatCode="&quot;$&quot;#,##0.000_);\(&quot;$&quot;#,##0.000\)"/>
    <numFmt numFmtId="177" formatCode="_(* #,##0_);_(* \(#,##0\);_(* &quot;-&quot;??_);_(@_)"/>
    <numFmt numFmtId="178" formatCode="0_);\(0\)"/>
    <numFmt numFmtId="179" formatCode="&quot;$&quot;#,##0.0_);\(&quot;$&quot;#,##0.0\)"/>
    <numFmt numFmtId="180" formatCode="&quot;$&quot;#,##0.0000_);\(&quot;$&quot;#,##0.0000\)"/>
    <numFmt numFmtId="181" formatCode="_(* #,##0.0_);_(* \(#,##0.0\);_(* &quot;-&quot;??_);_(@_)"/>
    <numFmt numFmtId="182" formatCode="0.00000000%"/>
    <numFmt numFmtId="183" formatCode="0.0000000%"/>
    <numFmt numFmtId="184" formatCode="0.000000000%"/>
    <numFmt numFmtId="185" formatCode="0.0000000000000%"/>
    <numFmt numFmtId="186" formatCode="0.00000000000000000%"/>
    <numFmt numFmtId="187" formatCode="0.000000000000%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_);\(#,##0.0\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  <numFmt numFmtId="196" formatCode="mm/dd/yy"/>
    <numFmt numFmtId="197" formatCode="_(&quot;$&quot;* #,##0.000_);_(&quot;$&quot;* \(#,##0.000\);_(&quot;$&quot;* &quot;-&quot;??_);_(@_)"/>
    <numFmt numFmtId="198" formatCode="_(&quot;$&quot;* #,##0.0000_);_(&quot;$&quot;* \(#,##0.0000\);_(&quot;$&quot;* &quot;-&quot;??_);_(@_)"/>
    <numFmt numFmtId="199" formatCode="[$-409]dddd\,\ mmmm\ dd\,\ yyyy"/>
    <numFmt numFmtId="200" formatCode="[$-409]h:mm:ss\ AM/PM"/>
    <numFmt numFmtId="201" formatCode="&quot;$&quot;#,##0.00"/>
    <numFmt numFmtId="202" formatCode="_(&quot;$&quot;* #,##0.000000_);_(&quot;$&quot;* \(#,##0.000000\);_(&quot;$&quot;* &quot;-&quot;??_);_(@_)"/>
    <numFmt numFmtId="203" formatCode="[$-409]mmmm\ d\,\ yyyy;@"/>
    <numFmt numFmtId="204" formatCode="0.00000"/>
    <numFmt numFmtId="205" formatCode="&quot;$&quot;#,##0.0"/>
    <numFmt numFmtId="206" formatCode="0.000"/>
    <numFmt numFmtId="207" formatCode="_(&quot;$&quot;* #,##0.0000_);_(&quot;$&quot;* \(#,##0.0000\);_(&quot;$&quot;* &quot;-&quot;????_);_(@_)"/>
    <numFmt numFmtId="208" formatCode="0.000000"/>
    <numFmt numFmtId="209" formatCode="_(* #,##0.0000_);_(* \(#,##0.0000\);_(* &quot;-&quot;??_);_(@_)"/>
  </numFmts>
  <fonts count="64"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8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u val="singleAccounting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u val="singleAccounting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6" fillId="0" borderId="9">
      <alignment horizontal="center"/>
      <protection/>
    </xf>
    <xf numFmtId="0" fontId="16" fillId="0" borderId="9">
      <alignment horizontal="center"/>
      <protection/>
    </xf>
    <xf numFmtId="0" fontId="16" fillId="0" borderId="9">
      <alignment horizontal="center"/>
      <protection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17" fillId="33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37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0" fillId="34" borderId="12" xfId="0" applyFill="1" applyBorder="1" applyAlignment="1">
      <alignment/>
    </xf>
    <xf numFmtId="0" fontId="0" fillId="34" borderId="9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9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9" fontId="0" fillId="34" borderId="0" xfId="0" applyNumberFormat="1" applyFont="1" applyFill="1" applyBorder="1" applyAlignment="1">
      <alignment wrapText="1"/>
    </xf>
    <xf numFmtId="0" fontId="0" fillId="34" borderId="9" xfId="0" applyFont="1" applyFill="1" applyBorder="1" applyAlignment="1">
      <alignment/>
    </xf>
    <xf numFmtId="5" fontId="0" fillId="34" borderId="0" xfId="0" applyNumberFormat="1" applyFill="1" applyBorder="1" applyAlignment="1">
      <alignment/>
    </xf>
    <xf numFmtId="5" fontId="0" fillId="34" borderId="0" xfId="0" applyNumberFormat="1" applyFill="1" applyBorder="1" applyAlignment="1">
      <alignment horizontal="right"/>
    </xf>
    <xf numFmtId="3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37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 quotePrefix="1">
      <alignment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37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 quotePrefix="1">
      <alignment horizontal="right"/>
    </xf>
    <xf numFmtId="37" fontId="0" fillId="0" borderId="14" xfId="0" applyNumberFormat="1" applyBorder="1" applyAlignment="1">
      <alignment horizontal="center"/>
    </xf>
    <xf numFmtId="49" fontId="0" fillId="34" borderId="19" xfId="0" applyNumberFormat="1" applyFill="1" applyBorder="1" applyAlignment="1">
      <alignment horizontal="center" wrapText="1"/>
    </xf>
    <xf numFmtId="37" fontId="0" fillId="34" borderId="9" xfId="0" applyNumberFormat="1" applyFill="1" applyBorder="1" applyAlignment="1">
      <alignment horizontal="center"/>
    </xf>
    <xf numFmtId="37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 quotePrefix="1">
      <alignment horizontal="right"/>
    </xf>
    <xf numFmtId="165" fontId="0" fillId="34" borderId="0" xfId="0" applyNumberFormat="1" applyFill="1" applyBorder="1" applyAlignment="1">
      <alignment/>
    </xf>
    <xf numFmtId="49" fontId="0" fillId="34" borderId="19" xfId="0" applyNumberFormat="1" applyFont="1" applyFill="1" applyBorder="1" applyAlignment="1">
      <alignment horizontal="center" wrapText="1"/>
    </xf>
    <xf numFmtId="49" fontId="0" fillId="34" borderId="0" xfId="0" applyNumberFormat="1" applyFill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37" fontId="0" fillId="0" borderId="12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9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wrapText="1"/>
    </xf>
    <xf numFmtId="3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0" fillId="34" borderId="0" xfId="0" applyNumberFormat="1" applyFill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3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5" fontId="0" fillId="0" borderId="0" xfId="0" applyNumberFormat="1" applyAlignment="1">
      <alignment/>
    </xf>
    <xf numFmtId="49" fontId="0" fillId="0" borderId="19" xfId="0" applyNumberFormat="1" applyBorder="1" applyAlignment="1">
      <alignment wrapText="1"/>
    </xf>
    <xf numFmtId="168" fontId="0" fillId="0" borderId="16" xfId="0" applyNumberFormat="1" applyBorder="1" applyAlignment="1">
      <alignment/>
    </xf>
    <xf numFmtId="49" fontId="0" fillId="34" borderId="19" xfId="0" applyNumberFormat="1" applyFill="1" applyBorder="1" applyAlignment="1">
      <alignment wrapText="1"/>
    </xf>
    <xf numFmtId="37" fontId="0" fillId="0" borderId="0" xfId="0" applyNumberFormat="1" applyAlignment="1">
      <alignment horizontal="center"/>
    </xf>
    <xf numFmtId="49" fontId="0" fillId="0" borderId="20" xfId="0" applyNumberFormat="1" applyBorder="1" applyAlignment="1">
      <alignment wrapText="1"/>
    </xf>
    <xf numFmtId="168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37" fontId="0" fillId="0" borderId="12" xfId="0" applyNumberFormat="1" applyBorder="1" applyAlignment="1">
      <alignment horizontal="center" wrapText="1"/>
    </xf>
    <xf numFmtId="37" fontId="0" fillId="0" borderId="13" xfId="0" applyNumberFormat="1" applyBorder="1" applyAlignment="1">
      <alignment horizontal="center" wrapText="1"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37" fontId="0" fillId="34" borderId="9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34" borderId="19" xfId="0" applyFill="1" applyBorder="1" applyAlignment="1">
      <alignment/>
    </xf>
    <xf numFmtId="49" fontId="0" fillId="0" borderId="0" xfId="0" applyNumberFormat="1" applyBorder="1" applyAlignment="1">
      <alignment horizontal="right"/>
    </xf>
    <xf numFmtId="5" fontId="2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37" fontId="0" fillId="34" borderId="12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5" fontId="3" fillId="0" borderId="0" xfId="0" applyNumberFormat="1" applyFont="1" applyAlignment="1">
      <alignment/>
    </xf>
    <xf numFmtId="0" fontId="9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0" fontId="10" fillId="0" borderId="0" xfId="0" applyFont="1" applyAlignment="1">
      <alignment/>
    </xf>
    <xf numFmtId="39" fontId="0" fillId="0" borderId="0" xfId="0" applyNumberFormat="1" applyAlignment="1">
      <alignment/>
    </xf>
    <xf numFmtId="39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5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9" fontId="0" fillId="0" borderId="14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4" fillId="0" borderId="0" xfId="0" applyFont="1" applyAlignment="1">
      <alignment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Border="1" applyAlignment="1">
      <alignment horizontal="center"/>
    </xf>
    <xf numFmtId="49" fontId="0" fillId="34" borderId="12" xfId="0" applyNumberForma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34" borderId="12" xfId="0" applyNumberFormat="1" applyFont="1" applyFill="1" applyBorder="1" applyAlignment="1">
      <alignment horizontal="center" wrapText="1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 quotePrefix="1">
      <alignment horizontal="right"/>
    </xf>
    <xf numFmtId="37" fontId="5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49" fontId="0" fillId="0" borderId="18" xfId="0" applyNumberFormat="1" applyBorder="1" applyAlignment="1">
      <alignment wrapText="1"/>
    </xf>
    <xf numFmtId="168" fontId="0" fillId="0" borderId="0" xfId="0" applyNumberFormat="1" applyBorder="1" applyAlignment="1" quotePrefix="1">
      <alignment horizontal="right"/>
    </xf>
    <xf numFmtId="168" fontId="2" fillId="0" borderId="0" xfId="0" applyNumberFormat="1" applyFont="1" applyBorder="1" applyAlignment="1">
      <alignment/>
    </xf>
    <xf numFmtId="168" fontId="0" fillId="0" borderId="16" xfId="0" applyNumberFormat="1" applyBorder="1" applyAlignment="1" quotePrefix="1">
      <alignment horizontal="right"/>
    </xf>
    <xf numFmtId="15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37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76" fontId="0" fillId="0" borderId="16" xfId="0" applyNumberFormat="1" applyBorder="1" applyAlignment="1">
      <alignment/>
    </xf>
    <xf numFmtId="0" fontId="0" fillId="0" borderId="0" xfId="0" applyFont="1" applyFill="1" applyAlignment="1">
      <alignment/>
    </xf>
    <xf numFmtId="49" fontId="4" fillId="0" borderId="15" xfId="0" applyNumberFormat="1" applyFont="1" applyBorder="1" applyAlignment="1">
      <alignment wrapText="1"/>
    </xf>
    <xf numFmtId="7" fontId="0" fillId="0" borderId="0" xfId="0" applyNumberFormat="1" applyAlignment="1">
      <alignment/>
    </xf>
    <xf numFmtId="7" fontId="3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 horizontal="center"/>
    </xf>
    <xf numFmtId="39" fontId="5" fillId="0" borderId="0" xfId="0" applyNumberFormat="1" applyFont="1" applyAlignment="1">
      <alignment/>
    </xf>
    <xf numFmtId="0" fontId="5" fillId="34" borderId="0" xfId="0" applyFont="1" applyFill="1" applyBorder="1" applyAlignment="1">
      <alignment/>
    </xf>
    <xf numFmtId="176" fontId="5" fillId="0" borderId="16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0" fontId="15" fillId="0" borderId="0" xfId="0" applyFont="1" applyAlignment="1">
      <alignment horizontal="center"/>
    </xf>
    <xf numFmtId="7" fontId="0" fillId="0" borderId="0" xfId="0" applyNumberFormat="1" applyFont="1" applyAlignment="1">
      <alignment/>
    </xf>
    <xf numFmtId="5" fontId="9" fillId="0" borderId="0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49" fontId="0" fillId="0" borderId="19" xfId="0" applyNumberFormat="1" applyFont="1" applyFill="1" applyBorder="1" applyAlignment="1">
      <alignment horizontal="left" wrapText="1"/>
    </xf>
    <xf numFmtId="0" fontId="0" fillId="0" borderId="23" xfId="0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5" fontId="0" fillId="0" borderId="22" xfId="0" applyNumberFormat="1" applyBorder="1" applyAlignment="1">
      <alignment/>
    </xf>
    <xf numFmtId="168" fontId="0" fillId="0" borderId="22" xfId="0" applyNumberFormat="1" applyBorder="1" applyAlignment="1" quotePrefix="1">
      <alignment horizontal="right"/>
    </xf>
    <xf numFmtId="5" fontId="4" fillId="0" borderId="22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5" fontId="0" fillId="0" borderId="24" xfId="0" applyNumberFormat="1" applyBorder="1" applyAlignment="1">
      <alignment/>
    </xf>
    <xf numFmtId="5" fontId="5" fillId="0" borderId="22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49" fontId="0" fillId="0" borderId="0" xfId="0" applyNumberFormat="1" applyFill="1" applyAlignment="1">
      <alignment horizontal="left"/>
    </xf>
    <xf numFmtId="0" fontId="2" fillId="0" borderId="0" xfId="0" applyFont="1" applyFill="1" applyAlignment="1">
      <alignment/>
    </xf>
    <xf numFmtId="49" fontId="20" fillId="0" borderId="15" xfId="0" applyNumberFormat="1" applyFont="1" applyBorder="1" applyAlignment="1">
      <alignment wrapText="1"/>
    </xf>
    <xf numFmtId="37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7" fontId="3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5" fontId="0" fillId="0" borderId="0" xfId="0" applyNumberFormat="1" applyFont="1" applyFill="1" applyBorder="1" applyAlignment="1">
      <alignment/>
    </xf>
    <xf numFmtId="5" fontId="5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7" fontId="3" fillId="0" borderId="0" xfId="0" applyNumberFormat="1" applyFont="1" applyFill="1" applyAlignment="1">
      <alignment wrapText="1"/>
    </xf>
    <xf numFmtId="5" fontId="0" fillId="0" borderId="21" xfId="0" applyNumberFormat="1" applyBorder="1" applyAlignment="1">
      <alignment/>
    </xf>
    <xf numFmtId="37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37" fontId="9" fillId="10" borderId="0" xfId="0" applyNumberFormat="1" applyFont="1" applyFill="1" applyBorder="1" applyAlignment="1">
      <alignment/>
    </xf>
    <xf numFmtId="37" fontId="5" fillId="10" borderId="0" xfId="0" applyNumberFormat="1" applyFont="1" applyFill="1" applyBorder="1" applyAlignment="1">
      <alignment/>
    </xf>
    <xf numFmtId="37" fontId="2" fillId="10" borderId="0" xfId="0" applyNumberFormat="1" applyFont="1" applyFill="1" applyBorder="1" applyAlignment="1">
      <alignment/>
    </xf>
    <xf numFmtId="168" fontId="2" fillId="10" borderId="0" xfId="0" applyNumberFormat="1" applyFont="1" applyFill="1" applyBorder="1" applyAlignment="1">
      <alignment/>
    </xf>
    <xf numFmtId="168" fontId="0" fillId="10" borderId="0" xfId="0" applyNumberFormat="1" applyFill="1" applyBorder="1" applyAlignment="1">
      <alignment/>
    </xf>
    <xf numFmtId="168" fontId="3" fillId="10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0" fontId="0" fillId="0" borderId="0" xfId="68" applyNumberFormat="1" applyFont="1" applyAlignment="1">
      <alignment/>
    </xf>
    <xf numFmtId="8" fontId="0" fillId="0" borderId="0" xfId="0" applyNumberFormat="1" applyFont="1" applyAlignment="1">
      <alignment/>
    </xf>
    <xf numFmtId="10" fontId="3" fillId="0" borderId="0" xfId="68" applyNumberFormat="1" applyFont="1" applyAlignment="1">
      <alignment/>
    </xf>
    <xf numFmtId="8" fontId="3" fillId="0" borderId="0" xfId="0" applyNumberFormat="1" applyFont="1" applyAlignment="1">
      <alignment/>
    </xf>
    <xf numFmtId="177" fontId="3" fillId="0" borderId="0" xfId="42" applyNumberFormat="1" applyFont="1" applyAlignment="1">
      <alignment/>
    </xf>
    <xf numFmtId="170" fontId="9" fillId="0" borderId="0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195" fontId="3" fillId="0" borderId="0" xfId="0" applyNumberFormat="1" applyFont="1" applyAlignment="1">
      <alignment/>
    </xf>
    <xf numFmtId="195" fontId="9" fillId="10" borderId="0" xfId="0" applyNumberFormat="1" applyFont="1" applyFill="1" applyBorder="1" applyAlignment="1">
      <alignment/>
    </xf>
    <xf numFmtId="37" fontId="0" fillId="16" borderId="0" xfId="0" applyNumberFormat="1" applyFill="1" applyAlignment="1">
      <alignment/>
    </xf>
    <xf numFmtId="10" fontId="0" fillId="16" borderId="0" xfId="68" applyNumberFormat="1" applyFont="1" applyFill="1" applyAlignment="1">
      <alignment/>
    </xf>
    <xf numFmtId="8" fontId="3" fillId="7" borderId="0" xfId="0" applyNumberFormat="1" applyFont="1" applyFill="1" applyAlignment="1">
      <alignment/>
    </xf>
    <xf numFmtId="177" fontId="3" fillId="7" borderId="0" xfId="42" applyNumberFormat="1" applyFont="1" applyFill="1" applyAlignment="1">
      <alignment/>
    </xf>
    <xf numFmtId="37" fontId="0" fillId="7" borderId="0" xfId="0" applyNumberFormat="1" applyFill="1" applyAlignment="1">
      <alignment/>
    </xf>
    <xf numFmtId="195" fontId="0" fillId="16" borderId="0" xfId="46" applyNumberFormat="1" applyFont="1" applyFill="1" applyAlignment="1">
      <alignment/>
    </xf>
    <xf numFmtId="0" fontId="0" fillId="16" borderId="0" xfId="0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7" fontId="0" fillId="3" borderId="0" xfId="0" applyNumberFormat="1" applyFill="1" applyAlignment="1">
      <alignment/>
    </xf>
    <xf numFmtId="10" fontId="0" fillId="3" borderId="0" xfId="68" applyNumberFormat="1" applyFont="1" applyFill="1" applyAlignment="1">
      <alignment/>
    </xf>
    <xf numFmtId="8" fontId="0" fillId="3" borderId="0" xfId="0" applyNumberFormat="1" applyFont="1" applyFill="1" applyAlignment="1">
      <alignment/>
    </xf>
    <xf numFmtId="195" fontId="0" fillId="7" borderId="0" xfId="46" applyNumberFormat="1" applyFont="1" applyFill="1" applyAlignment="1">
      <alignment/>
    </xf>
    <xf numFmtId="195" fontId="2" fillId="0" borderId="0" xfId="0" applyNumberFormat="1" applyFont="1" applyBorder="1" applyAlignment="1">
      <alignment/>
    </xf>
    <xf numFmtId="0" fontId="0" fillId="36" borderId="0" xfId="0" applyFill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5" fontId="4" fillId="3" borderId="22" xfId="0" applyNumberFormat="1" applyFont="1" applyFill="1" applyBorder="1" applyAlignment="1">
      <alignment/>
    </xf>
    <xf numFmtId="37" fontId="0" fillId="0" borderId="19" xfId="0" applyNumberFormat="1" applyFill="1" applyBorder="1" applyAlignment="1">
      <alignment/>
    </xf>
    <xf numFmtId="37" fontId="0" fillId="0" borderId="9" xfId="0" applyNumberFormat="1" applyFill="1" applyBorder="1" applyAlignment="1">
      <alignment/>
    </xf>
    <xf numFmtId="37" fontId="9" fillId="10" borderId="26" xfId="0" applyNumberFormat="1" applyFont="1" applyFill="1" applyBorder="1" applyAlignment="1">
      <alignment/>
    </xf>
    <xf numFmtId="0" fontId="0" fillId="34" borderId="26" xfId="0" applyFill="1" applyBorder="1" applyAlignment="1">
      <alignment/>
    </xf>
    <xf numFmtId="5" fontId="9" fillId="10" borderId="26" xfId="0" applyNumberFormat="1" applyFont="1" applyFill="1" applyBorder="1" applyAlignment="1">
      <alignment/>
    </xf>
    <xf numFmtId="0" fontId="5" fillId="34" borderId="26" xfId="0" applyFont="1" applyFill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2" xfId="0" applyNumberFormat="1" applyFill="1" applyBorder="1" applyAlignment="1">
      <alignment/>
    </xf>
    <xf numFmtId="197" fontId="9" fillId="0" borderId="24" xfId="0" applyNumberFormat="1" applyFont="1" applyFill="1" applyBorder="1" applyAlignment="1">
      <alignment/>
    </xf>
    <xf numFmtId="176" fontId="0" fillId="0" borderId="23" xfId="0" applyNumberFormat="1" applyBorder="1" applyAlignment="1">
      <alignment/>
    </xf>
    <xf numFmtId="176" fontId="5" fillId="10" borderId="2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7" fontId="0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37" fontId="0" fillId="0" borderId="13" xfId="0" applyNumberFormat="1" applyBorder="1" applyAlignment="1">
      <alignment horizontal="center"/>
    </xf>
    <xf numFmtId="37" fontId="0" fillId="0" borderId="16" xfId="0" applyNumberFormat="1" applyBorder="1" applyAlignment="1">
      <alignment horizontal="center"/>
    </xf>
    <xf numFmtId="37" fontId="0" fillId="0" borderId="17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5" fontId="0" fillId="34" borderId="0" xfId="0" applyNumberFormat="1" applyFont="1" applyFill="1" applyBorder="1" applyAlignment="1">
      <alignment/>
    </xf>
    <xf numFmtId="164" fontId="0" fillId="0" borderId="22" xfId="0" applyNumberFormat="1" applyFont="1" applyBorder="1" applyAlignment="1">
      <alignment/>
    </xf>
    <xf numFmtId="201" fontId="0" fillId="0" borderId="22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17" fillId="0" borderId="0" xfId="62">
      <alignment/>
      <protection/>
    </xf>
    <xf numFmtId="0" fontId="17" fillId="0" borderId="0" xfId="62" applyAlignment="1">
      <alignment horizontal="center"/>
      <protection/>
    </xf>
    <xf numFmtId="37" fontId="17" fillId="0" borderId="0" xfId="62" applyNumberFormat="1" applyFont="1" applyAlignment="1">
      <alignment horizontal="center"/>
      <protection/>
    </xf>
    <xf numFmtId="0" fontId="16" fillId="0" borderId="0" xfId="62" applyFont="1">
      <alignment/>
      <protection/>
    </xf>
    <xf numFmtId="37" fontId="0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37" fontId="3" fillId="0" borderId="15" xfId="0" applyNumberFormat="1" applyFont="1" applyBorder="1" applyAlignment="1">
      <alignment horizontal="center"/>
    </xf>
    <xf numFmtId="0" fontId="17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37" fontId="0" fillId="0" borderId="0" xfId="62" applyNumberFormat="1" applyFont="1" applyAlignment="1">
      <alignment horizontal="center"/>
      <protection/>
    </xf>
    <xf numFmtId="0" fontId="0" fillId="0" borderId="0" xfId="62" applyFont="1" applyAlignment="1">
      <alignment horizontal="left"/>
      <protection/>
    </xf>
    <xf numFmtId="37" fontId="0" fillId="0" borderId="24" xfId="0" applyNumberFormat="1" applyFont="1" applyBorder="1" applyAlignment="1">
      <alignment horizontal="center"/>
    </xf>
    <xf numFmtId="37" fontId="0" fillId="0" borderId="22" xfId="62" applyNumberFormat="1" applyFont="1" applyBorder="1" applyAlignment="1">
      <alignment horizontal="center"/>
      <protection/>
    </xf>
    <xf numFmtId="0" fontId="0" fillId="0" borderId="22" xfId="62" applyFont="1" applyBorder="1" applyAlignment="1">
      <alignment horizontal="left"/>
      <protection/>
    </xf>
    <xf numFmtId="49" fontId="0" fillId="0" borderId="22" xfId="72" applyNumberFormat="1" applyFont="1" applyBorder="1" applyAlignment="1">
      <alignment horizontal="left" wrapText="1"/>
    </xf>
    <xf numFmtId="0" fontId="0" fillId="0" borderId="24" xfId="62" applyFont="1" applyBorder="1" applyAlignment="1">
      <alignment horizontal="left"/>
      <protection/>
    </xf>
    <xf numFmtId="0" fontId="0" fillId="0" borderId="22" xfId="62" applyFont="1" applyBorder="1" applyAlignment="1">
      <alignment horizontal="center"/>
      <protection/>
    </xf>
    <xf numFmtId="171" fontId="0" fillId="0" borderId="22" xfId="62" applyNumberFormat="1" applyFont="1" applyBorder="1" applyAlignment="1">
      <alignment horizontal="center"/>
      <protection/>
    </xf>
    <xf numFmtId="171" fontId="0" fillId="0" borderId="24" xfId="62" applyNumberFormat="1" applyFont="1" applyBorder="1" applyAlignment="1">
      <alignment horizontal="center"/>
      <protection/>
    </xf>
    <xf numFmtId="37" fontId="0" fillId="0" borderId="22" xfId="62" applyNumberFormat="1" applyFont="1" applyBorder="1" applyAlignment="1">
      <alignment horizontal="center" wrapText="1"/>
      <protection/>
    </xf>
    <xf numFmtId="0" fontId="0" fillId="0" borderId="22" xfId="62" applyFont="1" applyBorder="1">
      <alignment/>
      <protection/>
    </xf>
    <xf numFmtId="10" fontId="0" fillId="0" borderId="22" xfId="62" applyNumberFormat="1" applyFont="1" applyBorder="1">
      <alignment/>
      <protection/>
    </xf>
    <xf numFmtId="10" fontId="0" fillId="0" borderId="24" xfId="62" applyNumberFormat="1" applyFont="1" applyBorder="1">
      <alignment/>
      <protection/>
    </xf>
    <xf numFmtId="10" fontId="3" fillId="3" borderId="22" xfId="70" applyNumberFormat="1" applyFont="1" applyFill="1" applyBorder="1" applyAlignment="1">
      <alignment/>
    </xf>
    <xf numFmtId="0" fontId="3" fillId="3" borderId="22" xfId="62" applyFont="1" applyFill="1" applyBorder="1">
      <alignment/>
      <protection/>
    </xf>
    <xf numFmtId="9" fontId="3" fillId="3" borderId="22" xfId="70" applyFont="1" applyFill="1" applyBorder="1" applyAlignment="1">
      <alignment/>
    </xf>
    <xf numFmtId="0" fontId="0" fillId="0" borderId="24" xfId="62" applyFont="1" applyBorder="1">
      <alignment/>
      <protection/>
    </xf>
    <xf numFmtId="0" fontId="3" fillId="0" borderId="21" xfId="62" applyFont="1" applyBorder="1" applyAlignment="1">
      <alignment horizontal="center"/>
      <protection/>
    </xf>
    <xf numFmtId="0" fontId="1" fillId="0" borderId="22" xfId="62" applyFont="1" applyBorder="1" applyAlignment="1">
      <alignment horizontal="center"/>
      <protection/>
    </xf>
    <xf numFmtId="37" fontId="0" fillId="0" borderId="21" xfId="0" applyNumberFormat="1" applyFont="1" applyBorder="1" applyAlignment="1">
      <alignment horizontal="center"/>
    </xf>
    <xf numFmtId="37" fontId="1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63">
      <alignment/>
      <protection/>
    </xf>
    <xf numFmtId="0" fontId="3" fillId="0" borderId="0" xfId="63" applyFont="1">
      <alignment/>
      <protection/>
    </xf>
    <xf numFmtId="177" fontId="0" fillId="0" borderId="0" xfId="44" applyNumberFormat="1" applyFont="1" applyAlignment="1">
      <alignment/>
    </xf>
    <xf numFmtId="0" fontId="3" fillId="0" borderId="0" xfId="63" applyFont="1" applyAlignment="1">
      <alignment horizontal="center"/>
      <protection/>
    </xf>
    <xf numFmtId="44" fontId="0" fillId="0" borderId="0" xfId="63" applyNumberFormat="1">
      <alignment/>
      <protection/>
    </xf>
    <xf numFmtId="0" fontId="0" fillId="0" borderId="0" xfId="63" applyFont="1">
      <alignment/>
      <protection/>
    </xf>
    <xf numFmtId="44" fontId="0" fillId="0" borderId="0" xfId="48" applyFont="1" applyAlignment="1">
      <alignment/>
    </xf>
    <xf numFmtId="195" fontId="0" fillId="0" borderId="0" xfId="63" applyNumberFormat="1">
      <alignment/>
      <protection/>
    </xf>
    <xf numFmtId="0" fontId="23" fillId="0" borderId="0" xfId="63" applyFont="1">
      <alignment/>
      <protection/>
    </xf>
    <xf numFmtId="49" fontId="23" fillId="0" borderId="0" xfId="63" applyNumberFormat="1" applyFont="1" applyAlignment="1">
      <alignment horizontal="center"/>
      <protection/>
    </xf>
    <xf numFmtId="49" fontId="24" fillId="0" borderId="0" xfId="63" applyNumberFormat="1" applyFont="1" applyAlignment="1">
      <alignment horizontal="center"/>
      <protection/>
    </xf>
    <xf numFmtId="0" fontId="24" fillId="0" borderId="0" xfId="63" applyFont="1">
      <alignment/>
      <protection/>
    </xf>
    <xf numFmtId="0" fontId="24" fillId="0" borderId="0" xfId="63" applyFont="1" applyAlignment="1">
      <alignment horizontal="right"/>
      <protection/>
    </xf>
    <xf numFmtId="5" fontId="23" fillId="0" borderId="0" xfId="63" applyNumberFormat="1" applyFont="1" applyBorder="1" applyAlignment="1">
      <alignment horizontal="center"/>
      <protection/>
    </xf>
    <xf numFmtId="195" fontId="0" fillId="0" borderId="0" xfId="48" applyNumberFormat="1" applyFont="1" applyAlignment="1">
      <alignment/>
    </xf>
    <xf numFmtId="171" fontId="23" fillId="0" borderId="26" xfId="63" applyNumberFormat="1" applyFont="1" applyBorder="1" applyAlignment="1">
      <alignment vertical="center"/>
      <protection/>
    </xf>
    <xf numFmtId="171" fontId="23" fillId="0" borderId="0" xfId="63" applyNumberFormat="1" applyFont="1">
      <alignment/>
      <protection/>
    </xf>
    <xf numFmtId="168" fontId="23" fillId="0" borderId="0" xfId="71" applyNumberFormat="1" applyFont="1" applyAlignment="1">
      <alignment/>
    </xf>
    <xf numFmtId="171" fontId="23" fillId="0" borderId="26" xfId="63" applyNumberFormat="1" applyFont="1" applyBorder="1">
      <alignment/>
      <protection/>
    </xf>
    <xf numFmtId="0" fontId="23" fillId="0" borderId="0" xfId="63" applyFont="1" applyAlignment="1">
      <alignment horizontal="center"/>
      <protection/>
    </xf>
    <xf numFmtId="170" fontId="23" fillId="0" borderId="0" xfId="63" applyNumberFormat="1" applyFont="1" applyBorder="1">
      <alignment/>
      <protection/>
    </xf>
    <xf numFmtId="49" fontId="23" fillId="0" borderId="0" xfId="63" applyNumberFormat="1" applyFont="1" applyBorder="1" applyAlignment="1">
      <alignment horizontal="center"/>
      <protection/>
    </xf>
    <xf numFmtId="0" fontId="0" fillId="0" borderId="0" xfId="63" applyBorder="1">
      <alignment/>
      <protection/>
    </xf>
    <xf numFmtId="0" fontId="23" fillId="0" borderId="0" xfId="63" applyFont="1" applyBorder="1">
      <alignment/>
      <protection/>
    </xf>
    <xf numFmtId="0" fontId="23" fillId="0" borderId="26" xfId="63" applyFont="1" applyBorder="1">
      <alignment/>
      <protection/>
    </xf>
    <xf numFmtId="203" fontId="23" fillId="0" borderId="26" xfId="63" applyNumberFormat="1" applyFont="1" applyBorder="1" applyAlignment="1">
      <alignment wrapText="1"/>
      <protection/>
    </xf>
    <xf numFmtId="203" fontId="0" fillId="0" borderId="26" xfId="63" applyNumberFormat="1" applyFont="1" applyBorder="1" applyAlignment="1">
      <alignment wrapText="1"/>
      <protection/>
    </xf>
    <xf numFmtId="0" fontId="0" fillId="0" borderId="0" xfId="63" applyAlignment="1">
      <alignment wrapText="1"/>
      <protection/>
    </xf>
    <xf numFmtId="0" fontId="0" fillId="0" borderId="0" xfId="63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49" fontId="0" fillId="0" borderId="0" xfId="63" applyNumberFormat="1" applyFont="1" applyAlignment="1">
      <alignment horizontal="center"/>
      <protection/>
    </xf>
    <xf numFmtId="0" fontId="8" fillId="0" borderId="0" xfId="63" applyFont="1" applyAlignment="1">
      <alignment horizontal="right"/>
      <protection/>
    </xf>
    <xf numFmtId="44" fontId="0" fillId="0" borderId="25" xfId="63" applyNumberFormat="1" applyBorder="1">
      <alignment/>
      <protection/>
    </xf>
    <xf numFmtId="0" fontId="0" fillId="0" borderId="0" xfId="63" applyFont="1" applyAlignment="1">
      <alignment horizontal="right"/>
      <protection/>
    </xf>
    <xf numFmtId="8" fontId="0" fillId="0" borderId="0" xfId="63" applyNumberFormat="1">
      <alignment/>
      <protection/>
    </xf>
    <xf numFmtId="0" fontId="7" fillId="0" borderId="0" xfId="63" applyFont="1" applyAlignment="1">
      <alignment horizontal="right"/>
      <protection/>
    </xf>
    <xf numFmtId="44" fontId="3" fillId="0" borderId="28" xfId="63" applyNumberFormat="1" applyFont="1" applyBorder="1">
      <alignment/>
      <protection/>
    </xf>
    <xf numFmtId="44" fontId="0" fillId="0" borderId="0" xfId="48" applyNumberFormat="1" applyFont="1" applyAlignment="1">
      <alignment/>
    </xf>
    <xf numFmtId="44" fontId="0" fillId="0" borderId="25" xfId="48" applyNumberFormat="1" applyFont="1" applyBorder="1" applyAlignment="1">
      <alignment/>
    </xf>
    <xf numFmtId="177" fontId="0" fillId="0" borderId="0" xfId="44" applyNumberFormat="1" applyFont="1" applyAlignment="1">
      <alignment/>
    </xf>
    <xf numFmtId="177" fontId="3" fillId="0" borderId="25" xfId="63" applyNumberFormat="1" applyFont="1" applyBorder="1">
      <alignment/>
      <protection/>
    </xf>
    <xf numFmtId="204" fontId="0" fillId="0" borderId="0" xfId="63" applyNumberFormat="1">
      <alignment/>
      <protection/>
    </xf>
    <xf numFmtId="43" fontId="0" fillId="0" borderId="0" xfId="63" applyNumberFormat="1">
      <alignment/>
      <protection/>
    </xf>
    <xf numFmtId="43" fontId="0" fillId="0" borderId="25" xfId="63" applyNumberFormat="1" applyBorder="1">
      <alignment/>
      <protection/>
    </xf>
    <xf numFmtId="44" fontId="0" fillId="0" borderId="0" xfId="63" applyNumberFormat="1" applyFont="1">
      <alignment/>
      <protection/>
    </xf>
    <xf numFmtId="201" fontId="0" fillId="0" borderId="22" xfId="0" applyNumberFormat="1" applyFont="1" applyFill="1" applyBorder="1" applyAlignment="1" quotePrefix="1">
      <alignment horizontal="right"/>
    </xf>
    <xf numFmtId="201" fontId="0" fillId="0" borderId="22" xfId="0" applyNumberFormat="1" applyFont="1" applyFill="1" applyBorder="1" applyAlignment="1">
      <alignment horizontal="right"/>
    </xf>
    <xf numFmtId="49" fontId="17" fillId="0" borderId="23" xfId="62" applyNumberFormat="1" applyBorder="1" applyAlignment="1">
      <alignment horizontal="center" wrapText="1"/>
      <protection/>
    </xf>
    <xf numFmtId="49" fontId="17" fillId="34" borderId="12" xfId="62" applyNumberFormat="1" applyFill="1" applyBorder="1" applyAlignment="1">
      <alignment wrapText="1"/>
      <protection/>
    </xf>
    <xf numFmtId="49" fontId="17" fillId="0" borderId="18" xfId="62" applyNumberFormat="1" applyBorder="1" applyAlignment="1">
      <alignment horizontal="center" wrapText="1"/>
      <protection/>
    </xf>
    <xf numFmtId="49" fontId="17" fillId="34" borderId="19" xfId="62" applyNumberFormat="1" applyFill="1" applyBorder="1" applyAlignment="1">
      <alignment wrapText="1"/>
      <protection/>
    </xf>
    <xf numFmtId="49" fontId="17" fillId="0" borderId="19" xfId="62" applyNumberFormat="1" applyBorder="1" applyAlignment="1">
      <alignment horizontal="center" wrapText="1"/>
      <protection/>
    </xf>
    <xf numFmtId="49" fontId="17" fillId="0" borderId="23" xfId="62" applyNumberFormat="1" applyFill="1" applyBorder="1" applyAlignment="1">
      <alignment wrapText="1"/>
      <protection/>
    </xf>
    <xf numFmtId="0" fontId="17" fillId="34" borderId="19" xfId="62" applyFill="1" applyBorder="1">
      <alignment/>
      <protection/>
    </xf>
    <xf numFmtId="0" fontId="17" fillId="0" borderId="19" xfId="62" applyBorder="1" applyAlignment="1">
      <alignment horizontal="center"/>
      <protection/>
    </xf>
    <xf numFmtId="0" fontId="17" fillId="34" borderId="19" xfId="62" applyFill="1" applyBorder="1" applyAlignment="1">
      <alignment horizontal="center"/>
      <protection/>
    </xf>
    <xf numFmtId="0" fontId="17" fillId="0" borderId="19" xfId="62" applyBorder="1">
      <alignment/>
      <protection/>
    </xf>
    <xf numFmtId="49" fontId="17" fillId="0" borderId="20" xfId="62" applyNumberFormat="1" applyBorder="1" applyAlignment="1">
      <alignment horizontal="center" wrapText="1"/>
      <protection/>
    </xf>
    <xf numFmtId="49" fontId="17" fillId="0" borderId="15" xfId="62" applyNumberFormat="1" applyBorder="1" applyAlignment="1">
      <alignment horizontal="center" wrapText="1"/>
      <protection/>
    </xf>
    <xf numFmtId="49" fontId="17" fillId="34" borderId="0" xfId="62" applyNumberFormat="1" applyFill="1" applyBorder="1" applyAlignment="1">
      <alignment wrapText="1"/>
      <protection/>
    </xf>
    <xf numFmtId="49" fontId="17" fillId="0" borderId="0" xfId="62" applyNumberFormat="1" applyBorder="1" applyAlignment="1">
      <alignment horizontal="center" wrapText="1"/>
      <protection/>
    </xf>
    <xf numFmtId="49" fontId="9" fillId="0" borderId="0" xfId="62" applyNumberFormat="1" applyFont="1" applyBorder="1" applyAlignment="1">
      <alignment horizontal="center" wrapText="1"/>
      <protection/>
    </xf>
    <xf numFmtId="49" fontId="17" fillId="0" borderId="22" xfId="62" applyNumberFormat="1" applyFill="1" applyBorder="1" applyAlignment="1">
      <alignment wrapText="1"/>
      <protection/>
    </xf>
    <xf numFmtId="0" fontId="17" fillId="34" borderId="0" xfId="62" applyFill="1" applyBorder="1">
      <alignment/>
      <protection/>
    </xf>
    <xf numFmtId="0" fontId="17" fillId="0" borderId="0" xfId="62" applyBorder="1" applyAlignment="1">
      <alignment horizontal="center"/>
      <protection/>
    </xf>
    <xf numFmtId="0" fontId="17" fillId="34" borderId="0" xfId="62" applyFill="1" applyBorder="1" applyAlignment="1">
      <alignment horizontal="center"/>
      <protection/>
    </xf>
    <xf numFmtId="0" fontId="17" fillId="0" borderId="0" xfId="62" applyBorder="1">
      <alignment/>
      <protection/>
    </xf>
    <xf numFmtId="49" fontId="17" fillId="0" borderId="16" xfId="62" applyNumberFormat="1" applyBorder="1" applyAlignment="1">
      <alignment horizontal="center" wrapText="1"/>
      <protection/>
    </xf>
    <xf numFmtId="0" fontId="17" fillId="34" borderId="12" xfId="62" applyFill="1" applyBorder="1">
      <alignment/>
      <protection/>
    </xf>
    <xf numFmtId="0" fontId="17" fillId="0" borderId="12" xfId="62" applyBorder="1">
      <alignment/>
      <protection/>
    </xf>
    <xf numFmtId="0" fontId="17" fillId="0" borderId="21" xfId="62" applyFill="1" applyBorder="1">
      <alignment/>
      <protection/>
    </xf>
    <xf numFmtId="0" fontId="17" fillId="0" borderId="13" xfId="62" applyBorder="1">
      <alignment/>
      <protection/>
    </xf>
    <xf numFmtId="5" fontId="5" fillId="0" borderId="0" xfId="62" applyNumberFormat="1" applyFont="1" applyBorder="1">
      <alignment/>
      <protection/>
    </xf>
    <xf numFmtId="169" fontId="17" fillId="0" borderId="0" xfId="62" applyNumberFormat="1" applyBorder="1">
      <alignment/>
      <protection/>
    </xf>
    <xf numFmtId="10" fontId="5" fillId="0" borderId="0" xfId="62" applyNumberFormat="1" applyFont="1" applyBorder="1">
      <alignment/>
      <protection/>
    </xf>
    <xf numFmtId="0" fontId="17" fillId="0" borderId="22" xfId="62" applyFill="1" applyBorder="1">
      <alignment/>
      <protection/>
    </xf>
    <xf numFmtId="10" fontId="17" fillId="0" borderId="0" xfId="62" applyNumberFormat="1" applyBorder="1">
      <alignment/>
      <protection/>
    </xf>
    <xf numFmtId="0" fontId="0" fillId="0" borderId="0" xfId="62" applyFont="1" applyBorder="1">
      <alignment/>
      <protection/>
    </xf>
    <xf numFmtId="49" fontId="17" fillId="0" borderId="0" xfId="62" applyNumberFormat="1" applyFill="1" applyBorder="1" applyAlignment="1">
      <alignment wrapText="1"/>
      <protection/>
    </xf>
    <xf numFmtId="10" fontId="9" fillId="0" borderId="0" xfId="62" applyNumberFormat="1" applyFont="1" applyBorder="1">
      <alignment/>
      <protection/>
    </xf>
    <xf numFmtId="0" fontId="0" fillId="0" borderId="22" xfId="62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169" fontId="4" fillId="0" borderId="0" xfId="62" applyNumberFormat="1" applyFont="1" applyBorder="1">
      <alignment/>
      <protection/>
    </xf>
    <xf numFmtId="167" fontId="17" fillId="0" borderId="16" xfId="62" applyNumberFormat="1" applyBorder="1">
      <alignment/>
      <protection/>
    </xf>
    <xf numFmtId="5" fontId="13" fillId="0" borderId="0" xfId="62" applyNumberFormat="1" applyFont="1" applyBorder="1">
      <alignment/>
      <protection/>
    </xf>
    <xf numFmtId="10" fontId="3" fillId="0" borderId="0" xfId="62" applyNumberFormat="1" applyFont="1" applyBorder="1">
      <alignment/>
      <protection/>
    </xf>
    <xf numFmtId="0" fontId="17" fillId="0" borderId="16" xfId="62" applyBorder="1">
      <alignment/>
      <protection/>
    </xf>
    <xf numFmtId="0" fontId="17" fillId="34" borderId="9" xfId="62" applyFill="1" applyBorder="1">
      <alignment/>
      <protection/>
    </xf>
    <xf numFmtId="0" fontId="17" fillId="0" borderId="9" xfId="62" applyBorder="1">
      <alignment/>
      <protection/>
    </xf>
    <xf numFmtId="0" fontId="17" fillId="0" borderId="24" xfId="62" applyFill="1" applyBorder="1">
      <alignment/>
      <protection/>
    </xf>
    <xf numFmtId="0" fontId="17" fillId="0" borderId="17" xfId="62" applyBorder="1">
      <alignment/>
      <protection/>
    </xf>
    <xf numFmtId="0" fontId="0" fillId="0" borderId="0" xfId="62" applyFont="1">
      <alignment/>
      <protection/>
    </xf>
    <xf numFmtId="173" fontId="17" fillId="0" borderId="0" xfId="62" applyNumberFormat="1">
      <alignment/>
      <protection/>
    </xf>
    <xf numFmtId="49" fontId="0" fillId="0" borderId="0" xfId="62" applyNumberFormat="1" applyFont="1" applyFill="1" applyBorder="1" applyAlignment="1">
      <alignment horizontal="center" wrapText="1"/>
      <protection/>
    </xf>
    <xf numFmtId="37" fontId="17" fillId="0" borderId="0" xfId="62" applyNumberFormat="1" applyFill="1" applyBorder="1" applyAlignment="1">
      <alignment horizontal="center"/>
      <protection/>
    </xf>
    <xf numFmtId="0" fontId="17" fillId="0" borderId="0" xfId="62" applyFill="1" applyBorder="1">
      <alignment/>
      <protection/>
    </xf>
    <xf numFmtId="10" fontId="17" fillId="0" borderId="0" xfId="62" applyNumberFormat="1" applyFill="1" applyBorder="1">
      <alignment/>
      <protection/>
    </xf>
    <xf numFmtId="0" fontId="17" fillId="0" borderId="0" xfId="62" applyFill="1" applyBorder="1" applyAlignment="1">
      <alignment horizontal="center"/>
      <protection/>
    </xf>
    <xf numFmtId="0" fontId="17" fillId="0" borderId="0" xfId="62" applyFill="1">
      <alignment/>
      <protection/>
    </xf>
    <xf numFmtId="0" fontId="0" fillId="0" borderId="0" xfId="62" applyFont="1" applyFill="1" applyBorder="1">
      <alignment/>
      <protection/>
    </xf>
    <xf numFmtId="49" fontId="17" fillId="0" borderId="0" xfId="62" applyNumberFormat="1" applyFill="1" applyBorder="1" applyAlignment="1">
      <alignment horizontal="center" wrapText="1"/>
      <protection/>
    </xf>
    <xf numFmtId="0" fontId="0" fillId="0" borderId="0" xfId="62" applyFont="1" applyFill="1" applyBorder="1">
      <alignment/>
      <protection/>
    </xf>
    <xf numFmtId="37" fontId="0" fillId="0" borderId="0" xfId="62" applyNumberFormat="1" applyFont="1" applyFill="1" applyBorder="1" applyAlignment="1">
      <alignment horizontal="center"/>
      <protection/>
    </xf>
    <xf numFmtId="0" fontId="45" fillId="0" borderId="0" xfId="65">
      <alignment/>
      <protection/>
    </xf>
    <xf numFmtId="0" fontId="45" fillId="0" borderId="0" xfId="65" applyAlignment="1">
      <alignment horizontal="center"/>
      <protection/>
    </xf>
    <xf numFmtId="0" fontId="60" fillId="0" borderId="0" xfId="65" applyFont="1">
      <alignment/>
      <protection/>
    </xf>
    <xf numFmtId="195" fontId="60" fillId="0" borderId="0" xfId="65" applyNumberFormat="1" applyFont="1">
      <alignment/>
      <protection/>
    </xf>
    <xf numFmtId="195" fontId="60" fillId="0" borderId="28" xfId="65" applyNumberFormat="1" applyFont="1" applyBorder="1">
      <alignment/>
      <protection/>
    </xf>
    <xf numFmtId="195" fontId="45" fillId="0" borderId="0" xfId="65" applyNumberFormat="1">
      <alignment/>
      <protection/>
    </xf>
    <xf numFmtId="0" fontId="60" fillId="0" borderId="0" xfId="65" applyFont="1" applyFill="1">
      <alignment/>
      <protection/>
    </xf>
    <xf numFmtId="10" fontId="45" fillId="0" borderId="0" xfId="70" applyNumberFormat="1" applyFont="1" applyAlignment="1">
      <alignment/>
    </xf>
    <xf numFmtId="195" fontId="45" fillId="0" borderId="26" xfId="65" applyNumberFormat="1" applyBorder="1">
      <alignment/>
      <protection/>
    </xf>
    <xf numFmtId="0" fontId="45" fillId="0" borderId="0" xfId="65" applyFill="1">
      <alignment/>
      <protection/>
    </xf>
    <xf numFmtId="195" fontId="45" fillId="0" borderId="0" xfId="65" applyNumberFormat="1" applyFill="1">
      <alignment/>
      <protection/>
    </xf>
    <xf numFmtId="0" fontId="0" fillId="0" borderId="24" xfId="0" applyFont="1" applyBorder="1" applyAlignment="1">
      <alignment/>
    </xf>
    <xf numFmtId="49" fontId="0" fillId="0" borderId="12" xfId="0" applyNumberFormat="1" applyFill="1" applyBorder="1" applyAlignment="1">
      <alignment horizontal="center" wrapText="1"/>
    </xf>
    <xf numFmtId="5" fontId="1" fillId="0" borderId="22" xfId="0" applyNumberFormat="1" applyFont="1" applyBorder="1" applyAlignment="1">
      <alignment/>
    </xf>
    <xf numFmtId="5" fontId="0" fillId="0" borderId="2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21" xfId="0" applyFont="1" applyBorder="1" applyAlignment="1">
      <alignment/>
    </xf>
    <xf numFmtId="201" fontId="0" fillId="0" borderId="22" xfId="42" applyNumberFormat="1" applyFont="1" applyBorder="1" applyAlignment="1">
      <alignment wrapText="1"/>
    </xf>
    <xf numFmtId="49" fontId="0" fillId="0" borderId="22" xfId="0" applyNumberFormat="1" applyFont="1" applyBorder="1" applyAlignment="1">
      <alignment wrapText="1"/>
    </xf>
    <xf numFmtId="37" fontId="0" fillId="0" borderId="22" xfId="0" applyNumberFormat="1" applyBorder="1" applyAlignment="1">
      <alignment horizontal="center"/>
    </xf>
    <xf numFmtId="5" fontId="0" fillId="0" borderId="0" xfId="0" applyNumberFormat="1" applyFill="1" applyBorder="1" applyAlignment="1">
      <alignment/>
    </xf>
    <xf numFmtId="37" fontId="0" fillId="37" borderId="0" xfId="0" applyNumberFormat="1" applyFill="1" applyBorder="1" applyAlignment="1">
      <alignment/>
    </xf>
    <xf numFmtId="49" fontId="0" fillId="34" borderId="19" xfId="0" applyNumberFormat="1" applyFont="1" applyFill="1" applyBorder="1" applyAlignment="1">
      <alignment wrapText="1"/>
    </xf>
    <xf numFmtId="49" fontId="0" fillId="0" borderId="20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37" fontId="0" fillId="0" borderId="16" xfId="0" applyNumberFormat="1" applyBorder="1" applyAlignment="1">
      <alignment horizontal="center" vertical="center"/>
    </xf>
    <xf numFmtId="37" fontId="0" fillId="37" borderId="12" xfId="0" applyNumberFormat="1" applyFill="1" applyBorder="1" applyAlignment="1">
      <alignment/>
    </xf>
    <xf numFmtId="37" fontId="0" fillId="37" borderId="19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9" xfId="0" applyFill="1" applyBorder="1" applyAlignment="1">
      <alignment/>
    </xf>
    <xf numFmtId="195" fontId="0" fillId="37" borderId="0" xfId="46" applyNumberFormat="1" applyFont="1" applyFill="1" applyBorder="1" applyAlignment="1">
      <alignment horizontal="right" wrapText="1"/>
    </xf>
    <xf numFmtId="171" fontId="0" fillId="0" borderId="22" xfId="68" applyNumberFormat="1" applyFont="1" applyBorder="1" applyAlignment="1">
      <alignment horizontal="right" wrapText="1"/>
    </xf>
    <xf numFmtId="171" fontId="0" fillId="37" borderId="0" xfId="46" applyNumberFormat="1" applyFont="1" applyFill="1" applyBorder="1" applyAlignment="1">
      <alignment horizontal="right" wrapText="1"/>
    </xf>
    <xf numFmtId="171" fontId="0" fillId="0" borderId="22" xfId="0" applyNumberFormat="1" applyFont="1" applyBorder="1" applyAlignment="1">
      <alignment horizontal="right" wrapText="1"/>
    </xf>
    <xf numFmtId="171" fontId="0" fillId="0" borderId="22" xfId="46" applyNumberFormat="1" applyFont="1" applyBorder="1" applyAlignment="1">
      <alignment horizontal="right" wrapText="1"/>
    </xf>
    <xf numFmtId="195" fontId="0" fillId="0" borderId="22" xfId="0" applyNumberFormat="1" applyBorder="1" applyAlignment="1">
      <alignment horizontal="right"/>
    </xf>
    <xf numFmtId="195" fontId="0" fillId="37" borderId="0" xfId="0" applyNumberFormat="1" applyFill="1" applyBorder="1" applyAlignment="1">
      <alignment horizontal="right"/>
    </xf>
    <xf numFmtId="7" fontId="0" fillId="0" borderId="22" xfId="0" applyNumberFormat="1" applyFont="1" applyBorder="1" applyAlignment="1">
      <alignment horizontal="right"/>
    </xf>
    <xf numFmtId="0" fontId="0" fillId="0" borderId="22" xfId="0" applyBorder="1" applyAlignment="1">
      <alignment horizontal="right"/>
    </xf>
    <xf numFmtId="5" fontId="0" fillId="0" borderId="22" xfId="0" applyNumberFormat="1" applyBorder="1" applyAlignment="1">
      <alignment horizontal="right"/>
    </xf>
    <xf numFmtId="5" fontId="0" fillId="37" borderId="0" xfId="0" applyNumberFormat="1" applyFill="1" applyBorder="1" applyAlignment="1">
      <alignment horizontal="right"/>
    </xf>
    <xf numFmtId="37" fontId="0" fillId="37" borderId="0" xfId="0" applyNumberFormat="1" applyFill="1" applyBorder="1" applyAlignment="1">
      <alignment horizontal="right"/>
    </xf>
    <xf numFmtId="168" fontId="0" fillId="0" borderId="22" xfId="68" applyNumberFormat="1" applyFont="1" applyBorder="1" applyAlignment="1">
      <alignment horizontal="right"/>
    </xf>
    <xf numFmtId="168" fontId="0" fillId="37" borderId="0" xfId="68" applyNumberFormat="1" applyFont="1" applyFill="1" applyBorder="1" applyAlignment="1">
      <alignment horizontal="right"/>
    </xf>
    <xf numFmtId="37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7" fontId="3" fillId="0" borderId="0" xfId="0" applyNumberFormat="1" applyFont="1" applyFill="1" applyAlignment="1">
      <alignment/>
    </xf>
    <xf numFmtId="0" fontId="45" fillId="0" borderId="22" xfId="65" applyBorder="1">
      <alignment/>
      <protection/>
    </xf>
    <xf numFmtId="195" fontId="45" fillId="0" borderId="22" xfId="49" applyNumberFormat="1" applyFont="1" applyBorder="1" applyAlignment="1">
      <alignment/>
    </xf>
    <xf numFmtId="195" fontId="45" fillId="0" borderId="22" xfId="65" applyNumberFormat="1" applyBorder="1">
      <alignment/>
      <protection/>
    </xf>
    <xf numFmtId="195" fontId="45" fillId="0" borderId="22" xfId="65" applyNumberFormat="1" applyFill="1" applyBorder="1">
      <alignment/>
      <protection/>
    </xf>
    <xf numFmtId="195" fontId="60" fillId="0" borderId="22" xfId="65" applyNumberFormat="1" applyFont="1" applyBorder="1">
      <alignment/>
      <protection/>
    </xf>
    <xf numFmtId="195" fontId="45" fillId="0" borderId="29" xfId="65" applyNumberFormat="1" applyBorder="1">
      <alignment/>
      <protection/>
    </xf>
    <xf numFmtId="195" fontId="60" fillId="0" borderId="30" xfId="65" applyNumberFormat="1" applyFont="1" applyBorder="1">
      <alignment/>
      <protection/>
    </xf>
    <xf numFmtId="10" fontId="45" fillId="0" borderId="22" xfId="70" applyNumberFormat="1" applyFont="1" applyBorder="1" applyAlignment="1">
      <alignment/>
    </xf>
    <xf numFmtId="195" fontId="45" fillId="0" borderId="22" xfId="65" applyNumberFormat="1" applyFont="1" applyBorder="1">
      <alignment/>
      <protection/>
    </xf>
    <xf numFmtId="195" fontId="45" fillId="0" borderId="22" xfId="65" applyNumberFormat="1" applyBorder="1" applyAlignment="1" quotePrefix="1">
      <alignment horizontal="center"/>
      <protection/>
    </xf>
    <xf numFmtId="44" fontId="45" fillId="0" borderId="22" xfId="65" applyNumberFormat="1" applyBorder="1">
      <alignment/>
      <protection/>
    </xf>
    <xf numFmtId="0" fontId="45" fillId="0" borderId="24" xfId="65" applyBorder="1">
      <alignment/>
      <protection/>
    </xf>
    <xf numFmtId="0" fontId="45" fillId="0" borderId="22" xfId="65" applyBorder="1" applyAlignment="1">
      <alignment horizontal="center"/>
      <protection/>
    </xf>
    <xf numFmtId="0" fontId="45" fillId="0" borderId="22" xfId="65" applyFill="1" applyBorder="1" applyAlignment="1">
      <alignment horizontal="center"/>
      <protection/>
    </xf>
    <xf numFmtId="0" fontId="45" fillId="0" borderId="24" xfId="65" applyBorder="1" applyAlignment="1">
      <alignment horizontal="center"/>
      <protection/>
    </xf>
    <xf numFmtId="0" fontId="60" fillId="0" borderId="21" xfId="65" applyFont="1" applyBorder="1">
      <alignment/>
      <protection/>
    </xf>
    <xf numFmtId="0" fontId="60" fillId="0" borderId="22" xfId="65" applyFont="1" applyBorder="1" applyAlignment="1">
      <alignment horizontal="center"/>
      <protection/>
    </xf>
    <xf numFmtId="0" fontId="45" fillId="0" borderId="22" xfId="65" applyFill="1" applyBorder="1">
      <alignment/>
      <protection/>
    </xf>
    <xf numFmtId="0" fontId="60" fillId="0" borderId="22" xfId="65" applyFont="1" applyBorder="1" applyAlignment="1">
      <alignment horizontal="right"/>
      <protection/>
    </xf>
    <xf numFmtId="0" fontId="60" fillId="0" borderId="22" xfId="65" applyFont="1" applyBorder="1">
      <alignment/>
      <protection/>
    </xf>
    <xf numFmtId="0" fontId="60" fillId="35" borderId="0" xfId="65" applyFont="1" applyFill="1">
      <alignment/>
      <protection/>
    </xf>
    <xf numFmtId="0" fontId="45" fillId="35" borderId="0" xfId="65" applyFill="1">
      <alignment/>
      <protection/>
    </xf>
    <xf numFmtId="0" fontId="60" fillId="35" borderId="23" xfId="65" applyFont="1" applyFill="1" applyBorder="1">
      <alignment/>
      <protection/>
    </xf>
    <xf numFmtId="10" fontId="60" fillId="0" borderId="22" xfId="70" applyNumberFormat="1" applyFont="1" applyBorder="1" applyAlignment="1">
      <alignment/>
    </xf>
    <xf numFmtId="0" fontId="60" fillId="0" borderId="24" xfId="65" applyFont="1" applyBorder="1" applyAlignment="1">
      <alignment horizontal="center"/>
      <protection/>
    </xf>
    <xf numFmtId="0" fontId="60" fillId="0" borderId="11" xfId="65" applyFont="1" applyBorder="1">
      <alignment/>
      <protection/>
    </xf>
    <xf numFmtId="0" fontId="60" fillId="0" borderId="12" xfId="65" applyFont="1" applyBorder="1">
      <alignment/>
      <protection/>
    </xf>
    <xf numFmtId="0" fontId="60" fillId="0" borderId="15" xfId="65" applyFont="1" applyBorder="1" applyAlignment="1">
      <alignment horizontal="center"/>
      <protection/>
    </xf>
    <xf numFmtId="0" fontId="60" fillId="0" borderId="0" xfId="65" applyFont="1" applyBorder="1">
      <alignment/>
      <protection/>
    </xf>
    <xf numFmtId="0" fontId="45" fillId="0" borderId="15" xfId="65" applyBorder="1">
      <alignment/>
      <protection/>
    </xf>
    <xf numFmtId="0" fontId="45" fillId="0" borderId="0" xfId="65" applyBorder="1">
      <alignment/>
      <protection/>
    </xf>
    <xf numFmtId="195" fontId="45" fillId="0" borderId="0" xfId="65" applyNumberFormat="1" applyBorder="1">
      <alignment/>
      <protection/>
    </xf>
    <xf numFmtId="6" fontId="45" fillId="0" borderId="0" xfId="65" applyNumberFormat="1" applyBorder="1">
      <alignment/>
      <protection/>
    </xf>
    <xf numFmtId="0" fontId="45" fillId="0" borderId="15" xfId="65" applyFill="1" applyBorder="1">
      <alignment/>
      <protection/>
    </xf>
    <xf numFmtId="0" fontId="45" fillId="0" borderId="0" xfId="65" applyFill="1" applyBorder="1">
      <alignment/>
      <protection/>
    </xf>
    <xf numFmtId="195" fontId="45" fillId="0" borderId="0" xfId="65" applyNumberFormat="1" applyFill="1" applyBorder="1">
      <alignment/>
      <protection/>
    </xf>
    <xf numFmtId="195" fontId="60" fillId="0" borderId="0" xfId="65" applyNumberFormat="1" applyFont="1" applyBorder="1">
      <alignment/>
      <protection/>
    </xf>
    <xf numFmtId="0" fontId="60" fillId="0" borderId="15" xfId="65" applyFont="1" applyBorder="1" applyAlignment="1">
      <alignment horizontal="right"/>
      <protection/>
    </xf>
    <xf numFmtId="10" fontId="45" fillId="0" borderId="0" xfId="70" applyNumberFormat="1" applyFont="1" applyBorder="1" applyAlignment="1">
      <alignment/>
    </xf>
    <xf numFmtId="195" fontId="63" fillId="0" borderId="0" xfId="65" applyNumberFormat="1" applyFont="1" applyBorder="1">
      <alignment/>
      <protection/>
    </xf>
    <xf numFmtId="44" fontId="45" fillId="0" borderId="0" xfId="65" applyNumberFormat="1" applyBorder="1">
      <alignment/>
      <protection/>
    </xf>
    <xf numFmtId="0" fontId="60" fillId="0" borderId="14" xfId="65" applyFont="1" applyBorder="1" applyAlignment="1">
      <alignment horizontal="right"/>
      <protection/>
    </xf>
    <xf numFmtId="0" fontId="60" fillId="0" borderId="9" xfId="65" applyFont="1" applyBorder="1">
      <alignment/>
      <protection/>
    </xf>
    <xf numFmtId="195" fontId="60" fillId="0" borderId="9" xfId="65" applyNumberFormat="1" applyFont="1" applyBorder="1">
      <alignment/>
      <protection/>
    </xf>
    <xf numFmtId="195" fontId="60" fillId="0" borderId="24" xfId="65" applyNumberFormat="1" applyFont="1" applyBorder="1">
      <alignment/>
      <protection/>
    </xf>
    <xf numFmtId="0" fontId="60" fillId="35" borderId="12" xfId="65" applyFont="1" applyFill="1" applyBorder="1">
      <alignment/>
      <protection/>
    </xf>
    <xf numFmtId="0" fontId="60" fillId="35" borderId="0" xfId="65" applyFont="1" applyFill="1" applyBorder="1">
      <alignment/>
      <protection/>
    </xf>
    <xf numFmtId="0" fontId="45" fillId="35" borderId="0" xfId="65" applyFill="1" applyBorder="1">
      <alignment/>
      <protection/>
    </xf>
    <xf numFmtId="195" fontId="45" fillId="35" borderId="0" xfId="65" applyNumberFormat="1" applyFill="1" applyBorder="1">
      <alignment/>
      <protection/>
    </xf>
    <xf numFmtId="195" fontId="60" fillId="35" borderId="0" xfId="65" applyNumberFormat="1" applyFont="1" applyFill="1" applyBorder="1">
      <alignment/>
      <protection/>
    </xf>
    <xf numFmtId="10" fontId="45" fillId="35" borderId="0" xfId="70" applyNumberFormat="1" applyFont="1" applyFill="1" applyBorder="1" applyAlignment="1">
      <alignment/>
    </xf>
    <xf numFmtId="195" fontId="60" fillId="35" borderId="28" xfId="65" applyNumberFormat="1" applyFont="1" applyFill="1" applyBorder="1">
      <alignment/>
      <protection/>
    </xf>
    <xf numFmtId="195" fontId="60" fillId="35" borderId="9" xfId="65" applyNumberFormat="1" applyFont="1" applyFill="1" applyBorder="1">
      <alignment/>
      <protection/>
    </xf>
    <xf numFmtId="168" fontId="0" fillId="0" borderId="22" xfId="68" applyNumberFormat="1" applyFont="1" applyBorder="1" applyAlignment="1">
      <alignment horizontal="right"/>
    </xf>
    <xf numFmtId="168" fontId="0" fillId="37" borderId="0" xfId="0" applyNumberFormat="1" applyFill="1" applyBorder="1" applyAlignment="1">
      <alignment horizontal="right"/>
    </xf>
    <xf numFmtId="9" fontId="60" fillId="0" borderId="22" xfId="65" applyNumberFormat="1" applyFont="1" applyBorder="1">
      <alignment/>
      <protection/>
    </xf>
    <xf numFmtId="0" fontId="45" fillId="0" borderId="22" xfId="65" applyFont="1" applyBorder="1" applyAlignment="1">
      <alignment horizontal="right"/>
      <protection/>
    </xf>
    <xf numFmtId="49" fontId="6" fillId="0" borderId="0" xfId="0" applyNumberFormat="1" applyFont="1" applyAlignment="1">
      <alignment horizontal="center"/>
    </xf>
    <xf numFmtId="0" fontId="45" fillId="0" borderId="0" xfId="65" applyFont="1">
      <alignment/>
      <protection/>
    </xf>
    <xf numFmtId="195" fontId="0" fillId="0" borderId="0" xfId="0" applyNumberFormat="1" applyBorder="1" applyAlignment="1">
      <alignment/>
    </xf>
    <xf numFmtId="168" fontId="17" fillId="0" borderId="16" xfId="62" applyNumberFormat="1" applyBorder="1">
      <alignment/>
      <protection/>
    </xf>
    <xf numFmtId="168" fontId="3" fillId="0" borderId="16" xfId="62" applyNumberFormat="1" applyFont="1" applyBorder="1" applyAlignment="1">
      <alignment horizontal="right" wrapText="1"/>
      <protection/>
    </xf>
    <xf numFmtId="49" fontId="0" fillId="0" borderId="0" xfId="63" applyNumberFormat="1" applyAlignment="1">
      <alignment horizontal="left"/>
      <protection/>
    </xf>
    <xf numFmtId="0" fontId="0" fillId="0" borderId="0" xfId="63" applyBorder="1" applyAlignment="1">
      <alignment horizontal="center"/>
      <protection/>
    </xf>
    <xf numFmtId="49" fontId="0" fillId="0" borderId="0" xfId="63" applyNumberFormat="1" applyBorder="1" applyAlignment="1">
      <alignment horizontal="center" wrapText="1"/>
      <protection/>
    </xf>
    <xf numFmtId="208" fontId="17" fillId="0" borderId="0" xfId="62" applyNumberFormat="1" applyBorder="1" applyAlignment="1">
      <alignment horizontal="center"/>
      <protection/>
    </xf>
    <xf numFmtId="10" fontId="0" fillId="0" borderId="0" xfId="63" applyNumberFormat="1" applyBorder="1">
      <alignment/>
      <protection/>
    </xf>
    <xf numFmtId="208" fontId="9" fillId="0" borderId="0" xfId="62" applyNumberFormat="1" applyFont="1" applyBorder="1" applyAlignment="1">
      <alignment horizontal="center"/>
      <protection/>
    </xf>
    <xf numFmtId="167" fontId="0" fillId="0" borderId="0" xfId="63" applyNumberFormat="1" applyBorder="1">
      <alignment/>
      <protection/>
    </xf>
    <xf numFmtId="10" fontId="3" fillId="0" borderId="0" xfId="63" applyNumberFormat="1" applyFont="1" applyBorder="1" applyAlignment="1">
      <alignment horizontal="center" wrapText="1"/>
      <protection/>
    </xf>
    <xf numFmtId="0" fontId="0" fillId="0" borderId="15" xfId="63" applyBorder="1" applyAlignment="1">
      <alignment horizontal="center"/>
      <protection/>
    </xf>
    <xf numFmtId="0" fontId="0" fillId="34" borderId="0" xfId="63" applyFill="1" applyBorder="1">
      <alignment/>
      <protection/>
    </xf>
    <xf numFmtId="0" fontId="0" fillId="34" borderId="0" xfId="63" applyFill="1" applyBorder="1" applyAlignment="1">
      <alignment horizontal="center"/>
      <protection/>
    </xf>
    <xf numFmtId="0" fontId="0" fillId="0" borderId="16" xfId="63" applyBorder="1">
      <alignment/>
      <protection/>
    </xf>
    <xf numFmtId="0" fontId="0" fillId="0" borderId="0" xfId="63" applyFill="1" applyBorder="1" applyAlignment="1">
      <alignment horizontal="center"/>
      <protection/>
    </xf>
    <xf numFmtId="0" fontId="0" fillId="0" borderId="0" xfId="63" applyFill="1" applyBorder="1">
      <alignment/>
      <protection/>
    </xf>
    <xf numFmtId="0" fontId="0" fillId="0" borderId="0" xfId="63" applyFill="1">
      <alignment/>
      <protection/>
    </xf>
    <xf numFmtId="0" fontId="10" fillId="0" borderId="0" xfId="63" applyFont="1" applyFill="1" applyBorder="1" applyAlignment="1">
      <alignment horizontal="center"/>
      <protection/>
    </xf>
    <xf numFmtId="209" fontId="17" fillId="0" borderId="0" xfId="44" applyNumberFormat="1" applyFont="1" applyBorder="1" applyAlignment="1">
      <alignment/>
    </xf>
    <xf numFmtId="209" fontId="17" fillId="0" borderId="0" xfId="44" applyNumberFormat="1" applyFont="1" applyAlignment="1">
      <alignment/>
    </xf>
    <xf numFmtId="209" fontId="17" fillId="0" borderId="0" xfId="44" applyNumberFormat="1" applyFont="1" applyAlignment="1">
      <alignment vertical="center"/>
    </xf>
    <xf numFmtId="208" fontId="17" fillId="0" borderId="0" xfId="62" applyNumberFormat="1">
      <alignment/>
      <protection/>
    </xf>
    <xf numFmtId="168" fontId="45" fillId="0" borderId="0" xfId="70" applyNumberFormat="1" applyFont="1" applyBorder="1" applyAlignment="1">
      <alignment/>
    </xf>
    <xf numFmtId="7" fontId="5" fillId="0" borderId="22" xfId="0" applyNumberFormat="1" applyFont="1" applyBorder="1" applyAlignment="1">
      <alignment/>
    </xf>
    <xf numFmtId="49" fontId="9" fillId="0" borderId="0" xfId="0" applyNumberFormat="1" applyFont="1" applyAlignment="1">
      <alignment wrapText="1"/>
    </xf>
    <xf numFmtId="44" fontId="0" fillId="0" borderId="0" xfId="46" applyFont="1" applyAlignment="1">
      <alignment/>
    </xf>
    <xf numFmtId="0" fontId="1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5" fontId="3" fillId="0" borderId="22" xfId="0" applyNumberFormat="1" applyFont="1" applyBorder="1" applyAlignment="1">
      <alignment/>
    </xf>
    <xf numFmtId="5" fontId="9" fillId="0" borderId="22" xfId="0" applyNumberFormat="1" applyFont="1" applyBorder="1" applyAlignment="1">
      <alignment/>
    </xf>
    <xf numFmtId="49" fontId="0" fillId="0" borderId="22" xfId="0" applyNumberFormat="1" applyBorder="1" applyAlignment="1">
      <alignment horizontal="right"/>
    </xf>
    <xf numFmtId="0" fontId="3" fillId="0" borderId="22" xfId="0" applyFont="1" applyBorder="1" applyAlignment="1">
      <alignment/>
    </xf>
    <xf numFmtId="0" fontId="0" fillId="0" borderId="22" xfId="0" applyNumberFormat="1" applyFill="1" applyBorder="1" applyAlignment="1">
      <alignment/>
    </xf>
    <xf numFmtId="49" fontId="3" fillId="0" borderId="22" xfId="0" applyNumberFormat="1" applyFont="1" applyBorder="1" applyAlignment="1">
      <alignment wrapText="1"/>
    </xf>
    <xf numFmtId="0" fontId="0" fillId="0" borderId="22" xfId="0" applyFont="1" applyBorder="1" applyAlignment="1">
      <alignment/>
    </xf>
    <xf numFmtId="0" fontId="3" fillId="0" borderId="22" xfId="0" applyFont="1" applyBorder="1" applyAlignment="1">
      <alignment horizontal="right"/>
    </xf>
    <xf numFmtId="49" fontId="0" fillId="0" borderId="22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left"/>
    </xf>
    <xf numFmtId="0" fontId="60" fillId="0" borderId="22" xfId="65" applyFont="1" applyFill="1" applyBorder="1" applyAlignment="1">
      <alignment horizontal="center"/>
      <protection/>
    </xf>
    <xf numFmtId="0" fontId="0" fillId="0" borderId="22" xfId="0" applyNumberFormat="1" applyFont="1" applyFill="1" applyBorder="1" applyAlignment="1">
      <alignment/>
    </xf>
    <xf numFmtId="0" fontId="0" fillId="0" borderId="22" xfId="0" applyNumberFormat="1" applyFont="1" applyBorder="1" applyAlignment="1">
      <alignment/>
    </xf>
    <xf numFmtId="0" fontId="25" fillId="0" borderId="0" xfId="63" applyFont="1" applyAlignment="1">
      <alignment/>
      <protection/>
    </xf>
    <xf numFmtId="203" fontId="24" fillId="0" borderId="0" xfId="63" applyNumberFormat="1" applyFont="1" applyBorder="1" applyAlignment="1">
      <alignment horizontal="center" wrapText="1"/>
      <protection/>
    </xf>
    <xf numFmtId="0" fontId="3" fillId="0" borderId="0" xfId="63" applyFont="1" applyAlignment="1" quotePrefix="1">
      <alignment horizontal="center"/>
      <protection/>
    </xf>
    <xf numFmtId="0" fontId="23" fillId="0" borderId="0" xfId="63" applyFont="1" applyAlignment="1">
      <alignment horizontal="center" vertical="center"/>
      <protection/>
    </xf>
    <xf numFmtId="0" fontId="23" fillId="0" borderId="0" xfId="63" applyFont="1" applyAlignment="1">
      <alignment horizontal="center" wrapText="1"/>
      <protection/>
    </xf>
    <xf numFmtId="37" fontId="23" fillId="0" borderId="0" xfId="63" applyNumberFormat="1" applyFont="1" applyBorder="1" applyAlignment="1">
      <alignment horizontal="center" wrapText="1"/>
      <protection/>
    </xf>
    <xf numFmtId="5" fontId="23" fillId="0" borderId="0" xfId="63" applyNumberFormat="1" applyFont="1" applyBorder="1" applyAlignment="1">
      <alignment horizontal="center"/>
      <protection/>
    </xf>
    <xf numFmtId="0" fontId="0" fillId="0" borderId="0" xfId="63" applyAlignment="1">
      <alignment horizontal="center" wrapText="1"/>
      <protection/>
    </xf>
    <xf numFmtId="0" fontId="23" fillId="0" borderId="0" xfId="63" applyFont="1" applyAlignment="1">
      <alignment horizontal="center"/>
      <protection/>
    </xf>
    <xf numFmtId="0" fontId="23" fillId="0" borderId="26" xfId="63" applyFont="1" applyBorder="1" applyAlignment="1">
      <alignment horizontal="center"/>
      <protection/>
    </xf>
    <xf numFmtId="0" fontId="0" fillId="0" borderId="26" xfId="63" applyFont="1" applyBorder="1" applyAlignment="1">
      <alignment horizontal="center"/>
      <protection/>
    </xf>
    <xf numFmtId="203" fontId="23" fillId="0" borderId="26" xfId="63" applyNumberFormat="1" applyFont="1" applyBorder="1" applyAlignment="1">
      <alignment horizontal="center"/>
      <protection/>
    </xf>
    <xf numFmtId="203" fontId="0" fillId="0" borderId="26" xfId="63" applyNumberFormat="1" applyFont="1" applyBorder="1" applyAlignment="1">
      <alignment/>
      <protection/>
    </xf>
    <xf numFmtId="0" fontId="0" fillId="0" borderId="21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37" fontId="1" fillId="0" borderId="21" xfId="0" applyNumberFormat="1" applyFont="1" applyBorder="1" applyAlignment="1">
      <alignment horizontal="center" wrapText="1"/>
    </xf>
    <xf numFmtId="37" fontId="0" fillId="0" borderId="24" xfId="0" applyNumberForma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0" fontId="0" fillId="0" borderId="22" xfId="68" applyNumberFormat="1" applyFont="1" applyBorder="1" applyAlignment="1">
      <alignment horizontal="right" wrapText="1"/>
    </xf>
    <xf numFmtId="10" fontId="0" fillId="0" borderId="22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 horizontal="right"/>
    </xf>
    <xf numFmtId="0" fontId="60" fillId="0" borderId="21" xfId="65" applyFont="1" applyBorder="1" applyAlignment="1">
      <alignment horizontal="center" wrapText="1"/>
      <protection/>
    </xf>
    <xf numFmtId="0" fontId="60" fillId="0" borderId="22" xfId="65" applyFont="1" applyBorder="1" applyAlignment="1">
      <alignment horizontal="center" wrapText="1"/>
      <protection/>
    </xf>
    <xf numFmtId="0" fontId="60" fillId="0" borderId="12" xfId="65" applyFont="1" applyBorder="1" applyAlignment="1">
      <alignment horizontal="center" wrapText="1"/>
      <protection/>
    </xf>
    <xf numFmtId="0" fontId="60" fillId="0" borderId="0" xfId="65" applyFont="1" applyBorder="1" applyAlignment="1">
      <alignment horizontal="center" wrapText="1"/>
      <protection/>
    </xf>
    <xf numFmtId="0" fontId="60" fillId="0" borderId="0" xfId="65" applyFont="1" applyAlignment="1">
      <alignment horizontal="center" wrapText="1"/>
      <protection/>
    </xf>
    <xf numFmtId="0" fontId="60" fillId="0" borderId="0" xfId="65" applyFont="1" applyAlignment="1">
      <alignment horizontal="center"/>
      <protection/>
    </xf>
    <xf numFmtId="17" fontId="60" fillId="0" borderId="0" xfId="65" applyNumberFormat="1" applyFont="1" applyAlignment="1" quotePrefix="1">
      <alignment horizontal="center"/>
      <protection/>
    </xf>
    <xf numFmtId="0" fontId="45" fillId="0" borderId="0" xfId="65" applyAlignment="1">
      <alignment horizontal="left" wrapText="1"/>
      <protection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62" applyFont="1" applyBorder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3" fillId="0" borderId="21" xfId="62" applyFont="1" applyBorder="1" applyAlignment="1">
      <alignment horizontal="center" wrapText="1"/>
      <protection/>
    </xf>
    <xf numFmtId="0" fontId="3" fillId="0" borderId="22" xfId="62" applyFont="1" applyBorder="1" applyAlignment="1">
      <alignment horizontal="center" wrapText="1"/>
      <protection/>
    </xf>
    <xf numFmtId="0" fontId="1" fillId="0" borderId="22" xfId="62" applyFont="1" applyBorder="1" applyAlignment="1">
      <alignment horizontal="center" wrapText="1"/>
      <protection/>
    </xf>
    <xf numFmtId="0" fontId="10" fillId="0" borderId="0" xfId="6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7" fillId="0" borderId="21" xfId="62" applyBorder="1" applyAlignment="1">
      <alignment horizontal="center"/>
      <protection/>
    </xf>
    <xf numFmtId="0" fontId="0" fillId="0" borderId="24" xfId="62" applyFont="1" applyBorder="1" applyAlignment="1">
      <alignment horizontal="center"/>
      <protection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23" xfId="0" applyBorder="1" applyAlignment="1">
      <alignment horizontal="center" wrapText="1"/>
    </xf>
    <xf numFmtId="49" fontId="0" fillId="35" borderId="19" xfId="0" applyNumberFormat="1" applyFill="1" applyBorder="1" applyAlignment="1">
      <alignment horizontal="center" wrapText="1"/>
    </xf>
    <xf numFmtId="0" fontId="0" fillId="35" borderId="13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171" fontId="0" fillId="0" borderId="22" xfId="0" applyNumberFormat="1" applyBorder="1" applyAlignment="1">
      <alignment horizontal="right"/>
    </xf>
    <xf numFmtId="171" fontId="0" fillId="37" borderId="0" xfId="0" applyNumberFormat="1" applyFill="1" applyBorder="1" applyAlignment="1">
      <alignment horizontal="right"/>
    </xf>
    <xf numFmtId="171" fontId="0" fillId="10" borderId="22" xfId="0" applyNumberFormat="1" applyFont="1" applyFill="1" applyBorder="1" applyAlignment="1">
      <alignment/>
    </xf>
    <xf numFmtId="171" fontId="0" fillId="0" borderId="22" xfId="0" applyNumberFormat="1" applyBorder="1" applyAlignment="1">
      <alignment/>
    </xf>
    <xf numFmtId="195" fontId="0" fillId="0" borderId="0" xfId="46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0" xfId="46" applyNumberFormat="1" applyFont="1" applyAlignment="1">
      <alignment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Percent 2" xfId="69"/>
    <cellStyle name="Percent 3" xfId="70"/>
    <cellStyle name="Percent 4" xfId="71"/>
    <cellStyle name="PSChar" xfId="72"/>
    <cellStyle name="PSChar 2" xfId="73"/>
    <cellStyle name="PSChar 2 2" xfId="74"/>
    <cellStyle name="PSChar 2 2 2" xfId="75"/>
    <cellStyle name="PSChar 3" xfId="76"/>
    <cellStyle name="PSChar 3 2" xfId="77"/>
    <cellStyle name="PSChar 4" xfId="78"/>
    <cellStyle name="PSDate" xfId="79"/>
    <cellStyle name="PSDate 2" xfId="80"/>
    <cellStyle name="PSDate 2 2" xfId="81"/>
    <cellStyle name="PSDate 3" xfId="82"/>
    <cellStyle name="PSDate 4" xfId="83"/>
    <cellStyle name="PSDec" xfId="84"/>
    <cellStyle name="PSDec 2" xfId="85"/>
    <cellStyle name="PSDec 2 2" xfId="86"/>
    <cellStyle name="PSDec 2 2 2" xfId="87"/>
    <cellStyle name="PSDec 3" xfId="88"/>
    <cellStyle name="PSDec 3 2" xfId="89"/>
    <cellStyle name="PSDec 4" xfId="90"/>
    <cellStyle name="PSHeading" xfId="91"/>
    <cellStyle name="PSHeading 2" xfId="92"/>
    <cellStyle name="PSHeading 2 2" xfId="93"/>
    <cellStyle name="PSInt" xfId="94"/>
    <cellStyle name="PSInt 2" xfId="95"/>
    <cellStyle name="PSInt 2 2" xfId="96"/>
    <cellStyle name="PSInt 2 2 2" xfId="97"/>
    <cellStyle name="PSInt 3" xfId="98"/>
    <cellStyle name="PSInt 3 2" xfId="99"/>
    <cellStyle name="PSInt 4" xfId="100"/>
    <cellStyle name="PSSpacer" xfId="101"/>
    <cellStyle name="PSSpacer 2" xfId="102"/>
    <cellStyle name="PSSpacer 2 2" xfId="103"/>
    <cellStyle name="PSSpacer 3" xfId="104"/>
    <cellStyle name="PSSpacer 4" xfId="105"/>
    <cellStyle name="Title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Amy%20Elliott\ATR%20&amp;%20PPA\ATR%20Monthly%20Filings\ATR-filed%20in%20December%20for%20January%20bill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 Rev"/>
      <sheetName val="Fuel Rev"/>
      <sheetName val="Fuel + SS Rev (Test)"/>
      <sheetName val="Rev Calcs"/>
      <sheetName val="Input"/>
      <sheetName val="ATR-Page 1"/>
      <sheetName val="ATR-Page 2"/>
      <sheetName val="ATR-Page 3"/>
      <sheetName val="PPA"/>
      <sheetName val="Sheet1"/>
    </sheetNames>
    <sheetDataSet>
      <sheetData sheetId="0">
        <row r="28">
          <cell r="K28">
            <v>-549741.9868594825</v>
          </cell>
        </row>
      </sheetData>
      <sheetData sheetId="1">
        <row r="26">
          <cell r="L26">
            <v>-798223.7435000001</v>
          </cell>
        </row>
      </sheetData>
      <sheetData sheetId="4">
        <row r="12">
          <cell r="E12">
            <v>43816830.37</v>
          </cell>
        </row>
        <row r="22">
          <cell r="E22">
            <v>570541462</v>
          </cell>
        </row>
        <row r="24">
          <cell r="E24">
            <v>57935589</v>
          </cell>
        </row>
        <row r="25">
          <cell r="E25">
            <v>139895422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14">
        <row r="10">
          <cell r="L10">
            <v>33162.27</v>
          </cell>
        </row>
        <row r="11">
          <cell r="L11">
            <v>2904864.73</v>
          </cell>
        </row>
      </sheetData>
      <sheetData sheetId="15">
        <row r="10">
          <cell r="L10">
            <v>2207</v>
          </cell>
        </row>
        <row r="11">
          <cell r="L11">
            <v>166351</v>
          </cell>
        </row>
      </sheetData>
      <sheetData sheetId="16">
        <row r="11">
          <cell r="L11">
            <v>49892</v>
          </cell>
        </row>
      </sheetData>
      <sheetData sheetId="18">
        <row r="2">
          <cell r="B2">
            <v>0.021464</v>
          </cell>
        </row>
        <row r="4">
          <cell r="B4">
            <v>0.6</v>
          </cell>
        </row>
        <row r="6">
          <cell r="B6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ySplit="10" topLeftCell="A11" activePane="bottomLeft" state="frozen"/>
      <selection pane="topLeft" activeCell="P31" sqref="P31"/>
      <selection pane="bottomLeft" activeCell="E32" sqref="E32"/>
    </sheetView>
  </sheetViews>
  <sheetFormatPr defaultColWidth="9.140625" defaultRowHeight="12.75"/>
  <cols>
    <col min="1" max="2" width="8.8515625" style="314" customWidth="1"/>
    <col min="3" max="3" width="20.140625" style="314" customWidth="1"/>
    <col min="4" max="4" width="2.28125" style="314" customWidth="1"/>
    <col min="5" max="5" width="4.7109375" style="314" customWidth="1"/>
    <col min="6" max="6" width="15.28125" style="314" customWidth="1"/>
    <col min="7" max="7" width="9.140625" style="314" customWidth="1"/>
    <col min="8" max="8" width="13.57421875" style="314" customWidth="1"/>
    <col min="9" max="9" width="15.00390625" style="314" customWidth="1"/>
    <col min="10" max="16384" width="8.8515625" style="314" customWidth="1"/>
  </cols>
  <sheetData>
    <row r="1" spans="1:8" ht="12.75" customHeight="1">
      <c r="A1" s="568" t="s">
        <v>186</v>
      </c>
      <c r="B1" s="568"/>
      <c r="C1" s="568"/>
      <c r="D1" s="568"/>
      <c r="E1" s="568"/>
      <c r="F1" s="568"/>
      <c r="H1" s="323" t="s">
        <v>27</v>
      </c>
    </row>
    <row r="2" spans="3:7" ht="12.75">
      <c r="C2" s="322"/>
      <c r="D2" s="322"/>
      <c r="E2" s="322"/>
      <c r="F2" s="322"/>
      <c r="G2" s="322"/>
    </row>
    <row r="3" spans="3:7" ht="12.75">
      <c r="C3" s="322"/>
      <c r="D3" s="322"/>
      <c r="E3" s="324" t="s">
        <v>175</v>
      </c>
      <c r="F3" s="322"/>
      <c r="G3" s="322"/>
    </row>
    <row r="4" spans="3:7" ht="12.75">
      <c r="C4" s="322"/>
      <c r="D4" s="322"/>
      <c r="E4" s="324"/>
      <c r="F4" s="322"/>
      <c r="G4" s="322"/>
    </row>
    <row r="5" spans="3:7" ht="12.75">
      <c r="C5" s="322"/>
      <c r="D5" s="322"/>
      <c r="E5" s="324" t="s">
        <v>187</v>
      </c>
      <c r="F5" s="322"/>
      <c r="G5" s="322"/>
    </row>
    <row r="6" spans="3:7" ht="12.75">
      <c r="C6" s="322"/>
      <c r="D6" s="322"/>
      <c r="E6" s="324"/>
      <c r="F6" s="322"/>
      <c r="G6" s="322"/>
    </row>
    <row r="7" spans="3:7" ht="12.75">
      <c r="C7" s="322"/>
      <c r="D7" s="322"/>
      <c r="E7" s="324" t="s">
        <v>176</v>
      </c>
      <c r="F7" s="322"/>
      <c r="G7" s="322"/>
    </row>
    <row r="8" spans="3:7" ht="12.75">
      <c r="C8" s="322"/>
      <c r="D8" s="322"/>
      <c r="E8" s="325"/>
      <c r="F8" s="322"/>
      <c r="G8" s="322"/>
    </row>
    <row r="9" spans="3:7" ht="12.75">
      <c r="C9" s="326" t="s">
        <v>177</v>
      </c>
      <c r="D9" s="326"/>
      <c r="E9" s="569" t="s">
        <v>286</v>
      </c>
      <c r="F9" s="569"/>
      <c r="G9" s="569"/>
    </row>
    <row r="10" spans="3:7" ht="12.75">
      <c r="C10" s="322"/>
      <c r="D10" s="322"/>
      <c r="E10" s="322"/>
      <c r="F10" s="322"/>
      <c r="G10" s="322"/>
    </row>
    <row r="11" spans="3:7" ht="12.75">
      <c r="C11" s="322"/>
      <c r="D11" s="322"/>
      <c r="E11" s="322"/>
      <c r="F11" s="322"/>
      <c r="G11" s="322"/>
    </row>
    <row r="12" spans="3:9" ht="12.75" customHeight="1">
      <c r="C12" s="322" t="s">
        <v>27</v>
      </c>
      <c r="D12" s="322"/>
      <c r="E12" s="327" t="s">
        <v>27</v>
      </c>
      <c r="F12" s="322"/>
      <c r="G12" s="327"/>
      <c r="H12" s="570"/>
      <c r="I12" s="328"/>
    </row>
    <row r="13" spans="3:8" ht="12.75" customHeight="1">
      <c r="C13" s="571" t="s">
        <v>184</v>
      </c>
      <c r="D13" s="571"/>
      <c r="E13" s="572" t="s">
        <v>161</v>
      </c>
      <c r="F13" s="329">
        <f>'ES 1.0'!G36</f>
        <v>1578215</v>
      </c>
      <c r="G13" s="573" t="s">
        <v>161</v>
      </c>
      <c r="H13" s="570"/>
    </row>
    <row r="14" spans="3:8" ht="15" customHeight="1">
      <c r="C14" s="571"/>
      <c r="D14" s="571"/>
      <c r="E14" s="572"/>
      <c r="F14" s="330">
        <f>'ES 1.0'!G38</f>
        <v>17430123</v>
      </c>
      <c r="G14" s="573"/>
      <c r="H14" s="331">
        <f>ROUND(F13/F14,6)</f>
        <v>0.090545</v>
      </c>
    </row>
    <row r="15" spans="3:8" ht="15" customHeight="1">
      <c r="C15" s="322"/>
      <c r="D15" s="322"/>
      <c r="E15" s="322"/>
      <c r="F15" s="330"/>
      <c r="G15" s="322"/>
      <c r="H15" s="322"/>
    </row>
    <row r="16" spans="6:8" ht="12.75" customHeight="1">
      <c r="F16" s="330"/>
      <c r="G16" s="322"/>
      <c r="H16" s="322"/>
    </row>
    <row r="17" spans="3:8" ht="12.75" customHeight="1">
      <c r="C17" s="571" t="s">
        <v>185</v>
      </c>
      <c r="D17" s="571"/>
      <c r="E17" s="574" t="s">
        <v>161</v>
      </c>
      <c r="F17" s="332">
        <f>'ES 1.0'!I36</f>
        <v>2261724</v>
      </c>
      <c r="G17" s="575" t="s">
        <v>161</v>
      </c>
      <c r="H17" s="331">
        <f>ROUND(F17/F18,6)</f>
        <v>0.142498</v>
      </c>
    </row>
    <row r="18" spans="3:8" ht="12.75">
      <c r="C18" s="571"/>
      <c r="D18" s="571"/>
      <c r="E18" s="574"/>
      <c r="F18" s="330">
        <f>'ES 1.0'!I38</f>
        <v>15871920.291959478</v>
      </c>
      <c r="G18" s="575"/>
      <c r="H18" s="322"/>
    </row>
    <row r="19" spans="3:9" ht="19.5" customHeight="1">
      <c r="C19" s="322"/>
      <c r="D19" s="322"/>
      <c r="E19" s="322"/>
      <c r="F19" s="330"/>
      <c r="G19" s="334"/>
      <c r="H19" s="335"/>
      <c r="I19" s="336"/>
    </row>
    <row r="20" spans="3:9" ht="12.75">
      <c r="C20" s="322"/>
      <c r="D20" s="322"/>
      <c r="E20" s="322"/>
      <c r="F20" s="322"/>
      <c r="G20" s="337"/>
      <c r="H20" s="336"/>
      <c r="I20" s="336"/>
    </row>
    <row r="21" spans="3:6" ht="12.75">
      <c r="C21" s="322"/>
      <c r="D21" s="322"/>
      <c r="E21" s="322"/>
      <c r="F21" s="322"/>
    </row>
    <row r="22" spans="3:7" ht="12.75">
      <c r="C22" s="322"/>
      <c r="D22" s="322"/>
      <c r="E22" s="322"/>
      <c r="F22" s="322"/>
      <c r="G22" s="322"/>
    </row>
    <row r="23" spans="3:7" ht="12.75">
      <c r="C23" s="322"/>
      <c r="D23" s="322"/>
      <c r="E23" s="322"/>
      <c r="F23" s="322"/>
      <c r="G23" s="322"/>
    </row>
    <row r="24" spans="3:7" ht="12.75">
      <c r="C24" s="322"/>
      <c r="D24" s="322"/>
      <c r="E24" s="322"/>
      <c r="F24" s="322"/>
      <c r="G24" s="322"/>
    </row>
    <row r="25" spans="3:9" ht="15" customHeight="1">
      <c r="C25" s="333" t="s">
        <v>178</v>
      </c>
      <c r="D25" s="322" t="s">
        <v>27</v>
      </c>
      <c r="E25" s="339" t="s">
        <v>27</v>
      </c>
      <c r="F25" s="340" t="s">
        <v>188</v>
      </c>
      <c r="G25" s="340"/>
      <c r="H25" s="341"/>
      <c r="I25" s="341"/>
    </row>
    <row r="26" spans="3:7" ht="12.75">
      <c r="C26" s="322"/>
      <c r="D26" s="322"/>
      <c r="E26" s="322"/>
      <c r="F26" s="322"/>
      <c r="G26" s="322"/>
    </row>
    <row r="27" spans="3:7" ht="12.75">
      <c r="C27" s="322"/>
      <c r="D27" s="322"/>
      <c r="E27" s="322"/>
      <c r="F27" s="322"/>
      <c r="G27" s="322"/>
    </row>
    <row r="28" spans="3:7" ht="12.75">
      <c r="C28" s="322"/>
      <c r="D28" s="322"/>
      <c r="E28" s="322"/>
      <c r="F28" s="322"/>
      <c r="G28" s="322"/>
    </row>
    <row r="29" spans="3:7" ht="12.75">
      <c r="C29" s="333" t="s">
        <v>179</v>
      </c>
      <c r="D29" s="322"/>
      <c r="E29" s="338"/>
      <c r="F29" s="338"/>
      <c r="G29" s="338"/>
    </row>
    <row r="30" spans="3:7" ht="12.75">
      <c r="C30" s="322"/>
      <c r="D30" s="322"/>
      <c r="E30" s="322"/>
      <c r="F30" s="333" t="s">
        <v>180</v>
      </c>
      <c r="G30" s="322"/>
    </row>
    <row r="31" spans="3:7" ht="12.75">
      <c r="C31" s="322"/>
      <c r="D31" s="322"/>
      <c r="E31" s="322"/>
      <c r="F31" s="322"/>
      <c r="G31" s="322"/>
    </row>
    <row r="32" spans="3:7" ht="12.75">
      <c r="C32" s="322"/>
      <c r="D32" s="322"/>
      <c r="E32" s="322"/>
      <c r="F32" s="322"/>
      <c r="G32" s="322"/>
    </row>
    <row r="33" spans="3:7" ht="12.75">
      <c r="C33" s="333" t="s">
        <v>181</v>
      </c>
      <c r="D33" s="322"/>
      <c r="E33" s="576" t="s">
        <v>27</v>
      </c>
      <c r="F33" s="577"/>
      <c r="G33" s="577"/>
    </row>
    <row r="34" spans="3:15" ht="12.75">
      <c r="C34" s="322"/>
      <c r="D34" s="322"/>
      <c r="E34" s="322"/>
      <c r="F34" s="322"/>
      <c r="G34" s="322"/>
      <c r="O34" s="319" t="s">
        <v>182</v>
      </c>
    </row>
    <row r="35" spans="3:7" ht="12.75">
      <c r="C35" s="322"/>
      <c r="D35" s="322"/>
      <c r="E35" s="322"/>
      <c r="F35" s="322"/>
      <c r="G35" s="322"/>
    </row>
    <row r="36" spans="3:7" ht="12.75">
      <c r="C36" s="333" t="s">
        <v>183</v>
      </c>
      <c r="D36" s="322"/>
      <c r="E36" s="578" t="s">
        <v>188</v>
      </c>
      <c r="F36" s="579"/>
      <c r="G36" s="579"/>
    </row>
    <row r="37" spans="3:7" ht="12.75">
      <c r="C37" s="322"/>
      <c r="D37" s="322"/>
      <c r="E37" s="333"/>
      <c r="F37" s="322"/>
      <c r="G37" s="322"/>
    </row>
    <row r="41" spans="3:8" ht="12.75">
      <c r="C41" s="567"/>
      <c r="D41" s="567"/>
      <c r="E41" s="567"/>
      <c r="F41" s="567"/>
      <c r="G41" s="567"/>
      <c r="H41" s="567"/>
    </row>
  </sheetData>
  <sheetProtection/>
  <mergeCells count="12">
    <mergeCell ref="E33:G33"/>
    <mergeCell ref="E36:G36"/>
    <mergeCell ref="C41:H41"/>
    <mergeCell ref="A1:F1"/>
    <mergeCell ref="E9:G9"/>
    <mergeCell ref="H12:H13"/>
    <mergeCell ref="C13:D14"/>
    <mergeCell ref="E13:E14"/>
    <mergeCell ref="G13:G14"/>
    <mergeCell ref="C17:D18"/>
    <mergeCell ref="E17:E18"/>
    <mergeCell ref="G17:G18"/>
  </mergeCells>
  <printOptions horizontalCentered="1" verticalCentered="1"/>
  <pageMargins left="0.5" right="0" top="0.5" bottom="0.5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U68"/>
  <sheetViews>
    <sheetView zoomScalePageLayoutView="0" workbookViewId="0" topLeftCell="A1">
      <pane ySplit="8" topLeftCell="A29" activePane="bottomLeft" state="frozen"/>
      <selection pane="topLeft" activeCell="J15" sqref="J15"/>
      <selection pane="bottomLeft" activeCell="H57" sqref="H57"/>
    </sheetView>
  </sheetViews>
  <sheetFormatPr defaultColWidth="9.140625" defaultRowHeight="12.75"/>
  <cols>
    <col min="1" max="1" width="10.7109375" style="314" customWidth="1"/>
    <col min="2" max="2" width="5.00390625" style="342" bestFit="1" customWidth="1"/>
    <col min="3" max="3" width="0.2890625" style="314" customWidth="1"/>
    <col min="4" max="4" width="12.7109375" style="314" customWidth="1"/>
    <col min="5" max="5" width="0.2890625" style="314" customWidth="1"/>
    <col min="6" max="6" width="15.7109375" style="314" customWidth="1"/>
    <col min="7" max="7" width="0.2890625" style="314" customWidth="1"/>
    <col min="8" max="8" width="12.8515625" style="314" customWidth="1"/>
    <col min="9" max="9" width="0.2890625" style="314" customWidth="1"/>
    <col min="10" max="10" width="12.7109375" style="314" customWidth="1"/>
    <col min="11" max="11" width="3.7109375" style="314" customWidth="1"/>
    <col min="12" max="12" width="0.2890625" style="314" customWidth="1"/>
    <col min="13" max="13" width="12.7109375" style="314" customWidth="1"/>
    <col min="14" max="14" width="0.2890625" style="314" customWidth="1"/>
    <col min="15" max="15" width="9.421875" style="314" customWidth="1"/>
    <col min="16" max="16" width="0.2890625" style="314" customWidth="1"/>
    <col min="17" max="17" width="3.7109375" style="314" customWidth="1"/>
    <col min="18" max="18" width="0.2890625" style="314" customWidth="1"/>
    <col min="19" max="19" width="12.00390625" style="314" bestFit="1" customWidth="1"/>
    <col min="20" max="20" width="2.28125" style="314" customWidth="1"/>
    <col min="21" max="16384" width="8.8515625" style="314" customWidth="1"/>
  </cols>
  <sheetData>
    <row r="1" ht="15" customHeight="1"/>
    <row r="2" ht="12.75">
      <c r="Q2" s="314" t="s">
        <v>3</v>
      </c>
    </row>
    <row r="4" ht="12.75">
      <c r="F4" s="527" t="s">
        <v>44</v>
      </c>
    </row>
    <row r="5" ht="12.75">
      <c r="H5" s="314" t="s">
        <v>75</v>
      </c>
    </row>
    <row r="6" ht="12.75">
      <c r="H6" s="319" t="s">
        <v>212</v>
      </c>
    </row>
    <row r="8" ht="12.75">
      <c r="J8" s="342" t="str">
        <f>'ES 1.0'!E7</f>
        <v>For the Expense Month of Sample Only</v>
      </c>
    </row>
    <row r="9" spans="2:20" ht="13.5" thickBot="1">
      <c r="B9" s="528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</row>
    <row r="10" spans="2:20" ht="30" customHeight="1" thickBot="1">
      <c r="B10" s="362" t="s">
        <v>59</v>
      </c>
      <c r="C10" s="363"/>
      <c r="D10" s="364" t="s">
        <v>14</v>
      </c>
      <c r="E10" s="365"/>
      <c r="F10" s="366" t="s">
        <v>15</v>
      </c>
      <c r="G10" s="365"/>
      <c r="H10" s="366" t="s">
        <v>24</v>
      </c>
      <c r="I10" s="365"/>
      <c r="J10" s="366" t="s">
        <v>17</v>
      </c>
      <c r="K10" s="367"/>
      <c r="L10" s="365"/>
      <c r="M10" s="366" t="s">
        <v>25</v>
      </c>
      <c r="N10" s="368"/>
      <c r="O10" s="369" t="s">
        <v>66</v>
      </c>
      <c r="P10" s="370"/>
      <c r="Q10" s="371"/>
      <c r="R10" s="368"/>
      <c r="S10" s="372" t="s">
        <v>26</v>
      </c>
      <c r="T10" s="529"/>
    </row>
    <row r="11" spans="2:20" ht="30" customHeight="1" thickBot="1">
      <c r="B11" s="373"/>
      <c r="C11" s="374"/>
      <c r="D11" s="375"/>
      <c r="E11" s="374"/>
      <c r="F11" s="376" t="s">
        <v>213</v>
      </c>
      <c r="G11" s="374"/>
      <c r="H11" s="375"/>
      <c r="I11" s="374"/>
      <c r="J11" s="375"/>
      <c r="K11" s="377"/>
      <c r="L11" s="374"/>
      <c r="M11" s="375"/>
      <c r="N11" s="378"/>
      <c r="O11" s="379"/>
      <c r="P11" s="380"/>
      <c r="Q11" s="381"/>
      <c r="R11" s="378"/>
      <c r="S11" s="382"/>
      <c r="T11" s="529"/>
    </row>
    <row r="12" spans="2:20" ht="12.75" customHeight="1">
      <c r="B12" s="616"/>
      <c r="C12" s="383"/>
      <c r="D12" s="384"/>
      <c r="E12" s="383"/>
      <c r="F12" s="384"/>
      <c r="G12" s="383"/>
      <c r="H12" s="384"/>
      <c r="I12" s="383"/>
      <c r="J12" s="384"/>
      <c r="K12" s="385"/>
      <c r="L12" s="383"/>
      <c r="M12" s="384"/>
      <c r="N12" s="383"/>
      <c r="O12" s="384"/>
      <c r="P12" s="383"/>
      <c r="Q12" s="384"/>
      <c r="R12" s="383"/>
      <c r="S12" s="386"/>
      <c r="T12" s="336"/>
    </row>
    <row r="13" spans="2:20" ht="15" customHeight="1">
      <c r="B13" s="395">
        <v>1</v>
      </c>
      <c r="C13" s="378"/>
      <c r="D13" s="381" t="s">
        <v>58</v>
      </c>
      <c r="E13" s="378"/>
      <c r="F13" s="387">
        <v>585086099</v>
      </c>
      <c r="G13" s="378"/>
      <c r="H13" s="391">
        <f>ROUND(F13/$F$18,4)</f>
        <v>0.5151</v>
      </c>
      <c r="I13" s="378"/>
      <c r="J13" s="389">
        <v>0.0541</v>
      </c>
      <c r="K13" s="390"/>
      <c r="L13" s="378"/>
      <c r="M13" s="391">
        <f>ROUND(H13*J13,4)</f>
        <v>0.0279</v>
      </c>
      <c r="N13" s="378"/>
      <c r="O13" s="530">
        <f>O46</f>
        <v>1.004977</v>
      </c>
      <c r="P13" s="378"/>
      <c r="Q13" s="392" t="s">
        <v>214</v>
      </c>
      <c r="R13" s="378"/>
      <c r="S13" s="525">
        <f>ROUND(M13*O13,6)</f>
        <v>0.028039</v>
      </c>
      <c r="T13" s="531"/>
    </row>
    <row r="14" spans="2:20" ht="12.75">
      <c r="B14" s="395">
        <f>+B13+1</f>
        <v>2</v>
      </c>
      <c r="C14" s="378"/>
      <c r="D14" s="381" t="s">
        <v>60</v>
      </c>
      <c r="E14" s="378"/>
      <c r="F14" s="387">
        <v>0</v>
      </c>
      <c r="G14" s="378"/>
      <c r="H14" s="391">
        <f>ROUND(F14/$F$18,4)</f>
        <v>0</v>
      </c>
      <c r="I14" s="378"/>
      <c r="J14" s="389">
        <v>0.0038</v>
      </c>
      <c r="K14" s="390"/>
      <c r="L14" s="378"/>
      <c r="M14" s="391">
        <f>ROUND(H14*J14,4)</f>
        <v>0</v>
      </c>
      <c r="N14" s="378"/>
      <c r="O14" s="530">
        <f>O46</f>
        <v>1.004977</v>
      </c>
      <c r="P14" s="378"/>
      <c r="Q14" s="381"/>
      <c r="R14" s="378"/>
      <c r="S14" s="525">
        <f>ROUND(M14*O14,6)</f>
        <v>0</v>
      </c>
      <c r="T14" s="531"/>
    </row>
    <row r="15" spans="2:20" ht="24.75">
      <c r="B15" s="395">
        <f>+B14+1</f>
        <v>3</v>
      </c>
      <c r="C15" s="378"/>
      <c r="D15" s="393" t="s">
        <v>2</v>
      </c>
      <c r="E15" s="378"/>
      <c r="F15" s="387">
        <v>51835808</v>
      </c>
      <c r="G15" s="378"/>
      <c r="H15" s="391">
        <f>ROUND(F15/$F$18,4)</f>
        <v>0.0456</v>
      </c>
      <c r="I15" s="378"/>
      <c r="J15" s="389">
        <v>0.0107</v>
      </c>
      <c r="K15" s="390"/>
      <c r="L15" s="378"/>
      <c r="M15" s="391">
        <f>ROUND(H15*J15,4)</f>
        <v>0.0005</v>
      </c>
      <c r="N15" s="378"/>
      <c r="O15" s="530">
        <f>O46</f>
        <v>1.004977</v>
      </c>
      <c r="P15" s="378"/>
      <c r="Q15" s="381"/>
      <c r="R15" s="378"/>
      <c r="S15" s="525">
        <f>ROUND(M15*O15,6)</f>
        <v>0.000502</v>
      </c>
      <c r="T15" s="531"/>
    </row>
    <row r="16" spans="2:20" ht="12.75">
      <c r="B16" s="395">
        <f>+B15+1</f>
        <v>4</v>
      </c>
      <c r="C16" s="378"/>
      <c r="D16" s="381" t="s">
        <v>62</v>
      </c>
      <c r="E16" s="378"/>
      <c r="F16" s="387">
        <v>498888221</v>
      </c>
      <c r="G16" s="378"/>
      <c r="H16" s="391">
        <f>ROUND(F16/$F$18,4)+0.0001</f>
        <v>0.43929999999999997</v>
      </c>
      <c r="I16" s="378"/>
      <c r="J16" s="394">
        <v>0.1025</v>
      </c>
      <c r="K16" s="395" t="s">
        <v>141</v>
      </c>
      <c r="L16" s="378"/>
      <c r="M16" s="391">
        <f>ROUND(H16*J16,4)</f>
        <v>0.045</v>
      </c>
      <c r="N16" s="378"/>
      <c r="O16" s="532">
        <f>S46</f>
        <v>1.616424</v>
      </c>
      <c r="P16" s="378"/>
      <c r="Q16" s="396" t="s">
        <v>215</v>
      </c>
      <c r="R16" s="378"/>
      <c r="S16" s="525">
        <f>ROUND(M16*O16,6)</f>
        <v>0.072739</v>
      </c>
      <c r="T16" s="531"/>
    </row>
    <row r="17" spans="2:20" ht="12.75">
      <c r="B17" s="395"/>
      <c r="C17" s="378"/>
      <c r="D17" s="381"/>
      <c r="E17" s="378"/>
      <c r="F17" s="387"/>
      <c r="G17" s="378"/>
      <c r="H17" s="388"/>
      <c r="I17" s="378"/>
      <c r="J17" s="397"/>
      <c r="K17" s="390"/>
      <c r="L17" s="378"/>
      <c r="M17" s="388"/>
      <c r="N17" s="378"/>
      <c r="O17" s="379"/>
      <c r="P17" s="378"/>
      <c r="Q17" s="381"/>
      <c r="R17" s="378"/>
      <c r="S17" s="398"/>
      <c r="T17" s="533"/>
    </row>
    <row r="18" spans="2:20" ht="12.75">
      <c r="B18" s="395">
        <f>+B16+1</f>
        <v>5</v>
      </c>
      <c r="C18" s="378"/>
      <c r="D18" s="381" t="s">
        <v>63</v>
      </c>
      <c r="E18" s="378"/>
      <c r="F18" s="399">
        <f>SUM(F13:F16)</f>
        <v>1135810128</v>
      </c>
      <c r="G18" s="378"/>
      <c r="H18" s="400">
        <f>SUM(H13:H16)</f>
        <v>1</v>
      </c>
      <c r="I18" s="378"/>
      <c r="J18" s="397"/>
      <c r="K18" s="390"/>
      <c r="L18" s="378"/>
      <c r="M18" s="400" t="s">
        <v>27</v>
      </c>
      <c r="N18" s="378"/>
      <c r="O18" s="381"/>
      <c r="P18" s="378"/>
      <c r="Q18" s="381"/>
      <c r="R18" s="378"/>
      <c r="S18" s="526">
        <f>SUM(S13:S17)</f>
        <v>0.10128</v>
      </c>
      <c r="T18" s="534"/>
    </row>
    <row r="19" spans="2:20" ht="12.75">
      <c r="B19" s="395"/>
      <c r="C19" s="378"/>
      <c r="D19" s="381"/>
      <c r="E19" s="378"/>
      <c r="F19" s="381"/>
      <c r="G19" s="378"/>
      <c r="H19" s="381"/>
      <c r="I19" s="378"/>
      <c r="J19" s="381"/>
      <c r="K19" s="390"/>
      <c r="L19" s="378"/>
      <c r="M19" s="381"/>
      <c r="N19" s="378"/>
      <c r="O19" s="381"/>
      <c r="P19" s="378"/>
      <c r="Q19" s="381"/>
      <c r="R19" s="378"/>
      <c r="S19" s="401"/>
      <c r="T19" s="336"/>
    </row>
    <row r="20" spans="2:20" ht="13.5" thickBot="1">
      <c r="B20" s="617"/>
      <c r="C20" s="402"/>
      <c r="D20" s="403"/>
      <c r="E20" s="402"/>
      <c r="F20" s="403"/>
      <c r="G20" s="402"/>
      <c r="H20" s="403"/>
      <c r="I20" s="402"/>
      <c r="J20" s="403"/>
      <c r="K20" s="404"/>
      <c r="L20" s="402"/>
      <c r="M20" s="403"/>
      <c r="N20" s="402"/>
      <c r="O20" s="403"/>
      <c r="P20" s="402"/>
      <c r="Q20" s="403"/>
      <c r="R20" s="402"/>
      <c r="S20" s="405"/>
      <c r="T20" s="336"/>
    </row>
    <row r="21" spans="2:20" ht="12.75" hidden="1">
      <c r="B21" s="535"/>
      <c r="C21" s="5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536"/>
      <c r="O21" s="336"/>
      <c r="P21" s="537"/>
      <c r="Q21" s="336"/>
      <c r="R21" s="336"/>
      <c r="S21" s="538"/>
      <c r="T21" s="336"/>
    </row>
    <row r="22" spans="2:20" ht="12" customHeight="1" hidden="1">
      <c r="B22" s="535"/>
      <c r="C22" s="5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536"/>
      <c r="O22" s="336"/>
      <c r="P22" s="537"/>
      <c r="Q22" s="336"/>
      <c r="R22" s="336"/>
      <c r="S22" s="538"/>
      <c r="T22" s="336"/>
    </row>
    <row r="23" spans="2:20" s="541" customFormat="1" ht="12" customHeight="1">
      <c r="B23" s="539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39"/>
      <c r="Q23" s="540"/>
      <c r="R23" s="540"/>
      <c r="S23" s="540"/>
      <c r="T23" s="540"/>
    </row>
    <row r="24" spans="2:20" s="541" customFormat="1" ht="12" customHeight="1">
      <c r="B24" s="539"/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39"/>
      <c r="Q24" s="540"/>
      <c r="R24" s="540"/>
      <c r="S24" s="540"/>
      <c r="T24" s="540"/>
    </row>
    <row r="25" spans="2:20" s="541" customFormat="1" ht="12" customHeight="1">
      <c r="B25" s="539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2" t="s">
        <v>274</v>
      </c>
      <c r="P25" s="542"/>
      <c r="S25" s="542" t="s">
        <v>275</v>
      </c>
      <c r="T25" s="540"/>
    </row>
    <row r="26" spans="2:21" ht="12.75">
      <c r="B26" s="396">
        <v>6</v>
      </c>
      <c r="C26" s="381"/>
      <c r="D26" s="392" t="s">
        <v>216</v>
      </c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543">
        <v>100</v>
      </c>
      <c r="P26" s="381"/>
      <c r="Q26" s="381"/>
      <c r="R26" s="381"/>
      <c r="S26" s="543">
        <f>O26</f>
        <v>100</v>
      </c>
      <c r="T26" s="381"/>
      <c r="U26" s="278"/>
    </row>
    <row r="27" spans="2:21" ht="12.75">
      <c r="B27" s="396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544"/>
      <c r="T27" s="278"/>
      <c r="U27" s="278"/>
    </row>
    <row r="28" spans="2:21" ht="12.75">
      <c r="B28" s="396">
        <v>7</v>
      </c>
      <c r="C28" s="278"/>
      <c r="D28" s="406" t="s">
        <v>217</v>
      </c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407">
        <v>0.3</v>
      </c>
      <c r="P28" s="278"/>
      <c r="Q28" s="278"/>
      <c r="R28" s="278"/>
      <c r="S28" s="544">
        <f>O28</f>
        <v>0.3</v>
      </c>
      <c r="T28" s="278"/>
      <c r="U28" s="278"/>
    </row>
    <row r="29" spans="2:21" ht="12.75">
      <c r="B29" s="396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544"/>
      <c r="T29" s="278"/>
      <c r="U29" s="278"/>
    </row>
    <row r="30" spans="2:21" ht="12.75">
      <c r="B30" s="396">
        <v>8</v>
      </c>
      <c r="C30" s="278"/>
      <c r="D30" s="406" t="s">
        <v>218</v>
      </c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>
        <v>0.1952</v>
      </c>
      <c r="P30" s="278"/>
      <c r="Q30" s="278"/>
      <c r="R30" s="278"/>
      <c r="S30" s="544">
        <f>O30</f>
        <v>0.1952</v>
      </c>
      <c r="T30" s="278"/>
      <c r="U30" s="278"/>
    </row>
    <row r="31" spans="2:21" ht="12.75">
      <c r="B31" s="396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406" t="s">
        <v>27</v>
      </c>
      <c r="P31" s="278"/>
      <c r="Q31" s="278"/>
      <c r="R31" s="278"/>
      <c r="S31" s="544"/>
      <c r="T31" s="278"/>
      <c r="U31" s="278"/>
    </row>
    <row r="32" spans="2:21" ht="12.75">
      <c r="B32" s="396">
        <v>9</v>
      </c>
      <c r="C32" s="278"/>
      <c r="D32" s="406" t="s">
        <v>219</v>
      </c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407">
        <f>O26-O28-O30</f>
        <v>99.5048</v>
      </c>
      <c r="P32" s="278"/>
      <c r="Q32" s="278"/>
      <c r="R32" s="278"/>
      <c r="S32" s="544">
        <f>S26-S28-S30</f>
        <v>99.5048</v>
      </c>
      <c r="T32" s="278"/>
      <c r="U32" s="278"/>
    </row>
    <row r="33" spans="2:21" ht="12.75">
      <c r="B33" s="396"/>
      <c r="C33" s="278"/>
      <c r="D33" s="406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544"/>
      <c r="T33" s="278"/>
      <c r="U33" s="278"/>
    </row>
    <row r="34" spans="2:21" ht="12.75">
      <c r="B34" s="396">
        <v>10</v>
      </c>
      <c r="C34" s="278"/>
      <c r="D34" s="289" t="s">
        <v>276</v>
      </c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344"/>
      <c r="P34" s="278"/>
      <c r="Q34" s="278"/>
      <c r="R34" s="278"/>
      <c r="S34" s="544">
        <f>S32*0.057348</f>
        <v>5.706401270400001</v>
      </c>
      <c r="T34" s="278"/>
      <c r="U34" s="278"/>
    </row>
    <row r="35" spans="2:21" ht="12.75">
      <c r="B35" s="396"/>
      <c r="C35" s="278"/>
      <c r="D35" s="406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9"/>
      <c r="P35" s="278"/>
      <c r="Q35" s="278"/>
      <c r="R35" s="278"/>
      <c r="S35" s="544"/>
      <c r="T35" s="278"/>
      <c r="U35" s="278"/>
    </row>
    <row r="36" spans="2:21" ht="12.75">
      <c r="B36" s="396">
        <v>11</v>
      </c>
      <c r="C36" s="278"/>
      <c r="D36" s="289" t="s">
        <v>277</v>
      </c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9"/>
      <c r="P36" s="278"/>
      <c r="Q36" s="278"/>
      <c r="R36" s="278"/>
      <c r="S36" s="544">
        <f>S32-S34</f>
        <v>93.7983987296</v>
      </c>
      <c r="T36" s="278"/>
      <c r="U36" s="278"/>
    </row>
    <row r="37" spans="2:21" ht="12.75">
      <c r="B37" s="396"/>
      <c r="C37" s="278"/>
      <c r="D37" s="406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544"/>
      <c r="T37" s="278"/>
      <c r="U37" s="278"/>
    </row>
    <row r="38" spans="2:21" ht="12.75">
      <c r="B38" s="396">
        <f>B36+1</f>
        <v>12</v>
      </c>
      <c r="C38" s="278"/>
      <c r="D38" s="289" t="s">
        <v>278</v>
      </c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544">
        <v>2.56</v>
      </c>
      <c r="T38" s="278"/>
      <c r="U38" s="278"/>
    </row>
    <row r="39" spans="2:21" ht="12.75">
      <c r="B39" s="396"/>
      <c r="C39" s="278"/>
      <c r="D39" s="289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544"/>
      <c r="T39" s="278"/>
      <c r="U39" s="278"/>
    </row>
    <row r="40" spans="2:21" ht="12.75">
      <c r="B40" s="396">
        <v>13</v>
      </c>
      <c r="C40" s="278"/>
      <c r="D40" s="289" t="s">
        <v>279</v>
      </c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544">
        <f>S36-S38</f>
        <v>91.2383987296</v>
      </c>
      <c r="T40" s="278"/>
      <c r="U40" s="278"/>
    </row>
    <row r="41" spans="2:21" ht="12.75">
      <c r="B41" s="396"/>
      <c r="C41" s="278"/>
      <c r="D41" s="289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545"/>
      <c r="T41" s="278"/>
      <c r="U41" s="278"/>
    </row>
    <row r="42" spans="2:21" ht="12.75">
      <c r="B42" s="396">
        <v>14</v>
      </c>
      <c r="C42" s="278"/>
      <c r="D42" s="289" t="s">
        <v>280</v>
      </c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545">
        <f>S40*0.35</f>
        <v>31.933439555359996</v>
      </c>
      <c r="T42" s="278"/>
      <c r="U42" s="278"/>
    </row>
    <row r="43" spans="2:21" ht="12.75">
      <c r="B43" s="396"/>
      <c r="C43" s="278"/>
      <c r="D43" s="289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544"/>
      <c r="T43" s="278"/>
      <c r="U43" s="278"/>
    </row>
    <row r="44" spans="2:21" ht="12.75">
      <c r="B44" s="396">
        <v>15</v>
      </c>
      <c r="C44" s="278"/>
      <c r="D44" s="289" t="s">
        <v>281</v>
      </c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544">
        <f>S36-S42</f>
        <v>61.86495917424</v>
      </c>
      <c r="T44" s="278"/>
      <c r="U44" s="278"/>
    </row>
    <row r="45" spans="2:21" ht="12.75">
      <c r="B45" s="396"/>
      <c r="C45" s="278"/>
      <c r="D45" s="289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</row>
    <row r="46" spans="2:21" ht="12.75">
      <c r="B46" s="396">
        <v>16</v>
      </c>
      <c r="C46" s="278"/>
      <c r="D46" s="289" t="s">
        <v>273</v>
      </c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546">
        <f>ROUND(100/O32,6)</f>
        <v>1.004977</v>
      </c>
      <c r="P46" s="278"/>
      <c r="Q46" s="278"/>
      <c r="R46" s="278"/>
      <c r="S46" s="278">
        <f>ROUND(100/S44,6)</f>
        <v>1.616424</v>
      </c>
      <c r="T46" s="278"/>
      <c r="U46" s="278"/>
    </row>
    <row r="47" spans="2:21" ht="12.75">
      <c r="B47" s="396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</row>
    <row r="48" spans="2:21" ht="12.75">
      <c r="B48" s="279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</row>
    <row r="49" spans="2:21" ht="12.75">
      <c r="B49" s="279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</row>
    <row r="50" spans="2:21" ht="12.75">
      <c r="B50" s="279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</row>
    <row r="51" spans="2:21" ht="12.75">
      <c r="B51" s="279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</row>
    <row r="52" spans="2:21" ht="12.75">
      <c r="B52" s="279"/>
      <c r="C52" s="278"/>
      <c r="D52" s="278"/>
      <c r="E52" s="278"/>
      <c r="F52" s="278"/>
      <c r="G52" s="278"/>
      <c r="H52" s="278"/>
      <c r="I52" s="410"/>
      <c r="J52" s="410" t="s">
        <v>261</v>
      </c>
      <c r="K52" s="410"/>
      <c r="L52" s="410"/>
      <c r="M52" s="410"/>
      <c r="N52" s="410"/>
      <c r="O52" s="411"/>
      <c r="P52" s="412"/>
      <c r="Q52" s="410"/>
      <c r="R52" s="410"/>
      <c r="S52" s="410"/>
      <c r="T52" s="410"/>
      <c r="U52" s="413"/>
    </row>
    <row r="53" spans="2:21" ht="12.75">
      <c r="B53" s="279"/>
      <c r="C53" s="278"/>
      <c r="D53" s="278"/>
      <c r="E53" s="278"/>
      <c r="F53" s="278"/>
      <c r="G53" s="278"/>
      <c r="H53" s="278"/>
      <c r="I53" s="410"/>
      <c r="J53" s="410"/>
      <c r="K53" s="410"/>
      <c r="L53" s="410"/>
      <c r="M53" s="410"/>
      <c r="N53" s="410"/>
      <c r="O53" s="410"/>
      <c r="P53" s="412"/>
      <c r="Q53" s="410"/>
      <c r="R53" s="410"/>
      <c r="S53" s="410"/>
      <c r="T53" s="410"/>
      <c r="U53" s="413"/>
    </row>
    <row r="54" spans="2:21" ht="12.75">
      <c r="B54" s="279"/>
      <c r="C54" s="278"/>
      <c r="D54" s="278"/>
      <c r="E54" s="278"/>
      <c r="F54" s="278"/>
      <c r="G54" s="278"/>
      <c r="H54" s="278"/>
      <c r="I54" s="410"/>
      <c r="J54" s="410"/>
      <c r="K54" s="410"/>
      <c r="L54" s="410"/>
      <c r="M54" s="410"/>
      <c r="N54" s="410"/>
      <c r="O54" s="410"/>
      <c r="P54" s="412"/>
      <c r="Q54" s="410"/>
      <c r="R54" s="410"/>
      <c r="S54" s="410"/>
      <c r="T54" s="410"/>
      <c r="U54" s="413"/>
    </row>
    <row r="55" spans="2:21" ht="12.75">
      <c r="B55" s="279"/>
      <c r="C55" s="278"/>
      <c r="D55" s="278"/>
      <c r="E55" s="278"/>
      <c r="F55" s="278"/>
      <c r="G55" s="278"/>
      <c r="H55" s="278"/>
      <c r="I55" s="410"/>
      <c r="J55" s="410"/>
      <c r="K55" s="410"/>
      <c r="L55" s="410"/>
      <c r="M55" s="410"/>
      <c r="N55" s="410"/>
      <c r="O55" s="410"/>
      <c r="P55" s="412"/>
      <c r="Q55" s="410"/>
      <c r="R55" s="410"/>
      <c r="S55" s="410"/>
      <c r="T55" s="410"/>
      <c r="U55" s="413"/>
    </row>
    <row r="56" spans="2:21" ht="12.75">
      <c r="B56" s="279"/>
      <c r="C56" s="278"/>
      <c r="D56" s="278"/>
      <c r="E56" s="278"/>
      <c r="F56" s="278"/>
      <c r="G56" s="278"/>
      <c r="H56" s="278"/>
      <c r="I56" s="410"/>
      <c r="J56" s="410"/>
      <c r="K56" s="410"/>
      <c r="L56" s="410"/>
      <c r="M56" s="410"/>
      <c r="N56" s="410"/>
      <c r="O56" s="410"/>
      <c r="P56" s="412"/>
      <c r="Q56" s="410"/>
      <c r="R56" s="410"/>
      <c r="S56" s="410"/>
      <c r="T56" s="410"/>
      <c r="U56" s="413"/>
    </row>
    <row r="57" spans="2:21" ht="12.75">
      <c r="B57" s="279"/>
      <c r="C57" s="278"/>
      <c r="D57" s="278"/>
      <c r="E57" s="278"/>
      <c r="F57" s="278"/>
      <c r="G57" s="278"/>
      <c r="H57" s="278"/>
      <c r="I57" s="410"/>
      <c r="J57" s="410"/>
      <c r="K57" s="410"/>
      <c r="L57" s="410"/>
      <c r="M57" s="410"/>
      <c r="N57" s="410"/>
      <c r="O57" s="410"/>
      <c r="P57" s="412"/>
      <c r="Q57" s="410"/>
      <c r="R57" s="410"/>
      <c r="S57" s="410"/>
      <c r="T57" s="410"/>
      <c r="U57" s="413"/>
    </row>
    <row r="58" spans="2:21" ht="12.75">
      <c r="B58" s="279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</row>
    <row r="59" spans="2:8" ht="12.75">
      <c r="B59" s="408" t="s">
        <v>141</v>
      </c>
      <c r="C59" s="409"/>
      <c r="D59" s="410" t="s">
        <v>21</v>
      </c>
      <c r="E59" s="410"/>
      <c r="F59" s="410"/>
      <c r="G59" s="410"/>
      <c r="H59" s="410"/>
    </row>
    <row r="60" spans="2:8" ht="12.75">
      <c r="B60" s="412"/>
      <c r="C60" s="409"/>
      <c r="D60" s="410" t="s">
        <v>220</v>
      </c>
      <c r="E60" s="410"/>
      <c r="F60" s="410"/>
      <c r="G60" s="410"/>
      <c r="H60" s="410"/>
    </row>
    <row r="61" spans="2:8" ht="12.75">
      <c r="B61" s="409"/>
      <c r="C61" s="409"/>
      <c r="D61" s="410"/>
      <c r="E61" s="410"/>
      <c r="F61" s="410"/>
      <c r="G61" s="410"/>
      <c r="H61" s="410"/>
    </row>
    <row r="62" spans="2:8" ht="12.75">
      <c r="B62" s="408" t="s">
        <v>215</v>
      </c>
      <c r="C62" s="409"/>
      <c r="D62" s="414" t="s">
        <v>221</v>
      </c>
      <c r="E62" s="410"/>
      <c r="F62" s="410"/>
      <c r="G62" s="410"/>
      <c r="H62" s="410"/>
    </row>
    <row r="63" spans="2:8" ht="12.75">
      <c r="B63" s="415"/>
      <c r="C63" s="409"/>
      <c r="D63" s="416" t="s">
        <v>27</v>
      </c>
      <c r="E63" s="410"/>
      <c r="F63" s="410"/>
      <c r="G63" s="410"/>
      <c r="H63" s="410"/>
    </row>
    <row r="64" spans="2:8" ht="12.75">
      <c r="B64" s="417" t="s">
        <v>214</v>
      </c>
      <c r="C64" s="409"/>
      <c r="D64" s="414" t="s">
        <v>222</v>
      </c>
      <c r="E64" s="410"/>
      <c r="F64" s="410"/>
      <c r="G64" s="410"/>
      <c r="H64" s="410"/>
    </row>
    <row r="65" spans="2:8" ht="12.75">
      <c r="B65" s="279"/>
      <c r="C65" s="278"/>
      <c r="D65" s="278"/>
      <c r="E65" s="278"/>
      <c r="F65" s="278"/>
      <c r="G65" s="278"/>
      <c r="H65" s="278"/>
    </row>
    <row r="67" ht="12.75">
      <c r="B67" s="314" t="s">
        <v>41</v>
      </c>
    </row>
    <row r="68" ht="12.75">
      <c r="B68" s="319" t="s">
        <v>223</v>
      </c>
    </row>
  </sheetData>
  <sheetProtection/>
  <printOptions horizontalCentered="1" verticalCentered="1"/>
  <pageMargins left="0" right="0" top="0" bottom="0.2" header="0" footer="0"/>
  <pageSetup horizontalDpi="300" verticalDpi="3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9">
      <selection activeCell="M54" sqref="M54"/>
    </sheetView>
  </sheetViews>
  <sheetFormatPr defaultColWidth="9.140625" defaultRowHeight="12.75"/>
  <cols>
    <col min="1" max="1" width="5.28125" style="419" customWidth="1"/>
    <col min="2" max="2" width="0.85546875" style="418" customWidth="1"/>
    <col min="3" max="3" width="44.7109375" style="418" customWidth="1"/>
    <col min="4" max="4" width="8.57421875" style="418" customWidth="1"/>
    <col min="5" max="5" width="18.140625" style="418" customWidth="1"/>
    <col min="6" max="6" width="8.8515625" style="418" hidden="1" customWidth="1"/>
    <col min="7" max="7" width="1.28515625" style="418" customWidth="1"/>
    <col min="8" max="9" width="8.8515625" style="418" customWidth="1"/>
    <col min="10" max="10" width="10.00390625" style="418" bestFit="1" customWidth="1"/>
    <col min="11" max="16384" width="8.8515625" style="418" customWidth="1"/>
  </cols>
  <sheetData>
    <row r="1" spans="1:7" ht="14.25">
      <c r="A1" s="603" t="s">
        <v>39</v>
      </c>
      <c r="B1" s="603"/>
      <c r="C1" s="603"/>
      <c r="D1" s="603"/>
      <c r="E1" s="603"/>
      <c r="F1" s="603"/>
      <c r="G1" s="603"/>
    </row>
    <row r="2" spans="1:7" ht="14.25">
      <c r="A2" s="604" t="s">
        <v>262</v>
      </c>
      <c r="B2" s="604"/>
      <c r="C2" s="604"/>
      <c r="D2" s="604"/>
      <c r="E2" s="604"/>
      <c r="F2" s="604"/>
      <c r="G2" s="604"/>
    </row>
    <row r="3" spans="1:7" ht="14.25">
      <c r="A3" s="605" t="str">
        <f>'ES 3.13'!A4:J4</f>
        <v>SAMPLE ONLY</v>
      </c>
      <c r="B3" s="604"/>
      <c r="C3" s="604"/>
      <c r="D3" s="604"/>
      <c r="E3" s="604"/>
      <c r="F3" s="604"/>
      <c r="G3" s="604"/>
    </row>
    <row r="4" ht="15" thickBot="1"/>
    <row r="5" spans="1:7" s="420" customFormat="1" ht="15" thickBot="1">
      <c r="A5" s="599" t="s">
        <v>248</v>
      </c>
      <c r="B5" s="487"/>
      <c r="C5" s="480"/>
      <c r="D5" s="480"/>
      <c r="E5" s="599" t="s">
        <v>245</v>
      </c>
      <c r="G5" s="493"/>
    </row>
    <row r="6" spans="1:7" s="420" customFormat="1" ht="14.25">
      <c r="A6" s="600"/>
      <c r="B6" s="485"/>
      <c r="C6" s="481" t="s">
        <v>244</v>
      </c>
      <c r="D6" s="484"/>
      <c r="E6" s="600"/>
      <c r="G6" s="493"/>
    </row>
    <row r="7" spans="1:7" ht="2.25" customHeight="1">
      <c r="A7" s="477"/>
      <c r="B7" s="486"/>
      <c r="C7" s="465"/>
      <c r="D7" s="465"/>
      <c r="E7" s="465"/>
      <c r="G7" s="495"/>
    </row>
    <row r="8" spans="1:7" ht="14.25">
      <c r="A8" s="477">
        <v>1</v>
      </c>
      <c r="B8" s="486"/>
      <c r="C8" s="465" t="s">
        <v>116</v>
      </c>
      <c r="D8" s="465"/>
      <c r="E8" s="466">
        <v>199999999</v>
      </c>
      <c r="F8" s="423"/>
      <c r="G8" s="496"/>
    </row>
    <row r="9" spans="1:7" ht="14.25">
      <c r="A9" s="477">
        <f aca="true" t="shared" si="0" ref="A9:A27">A8+1</f>
        <v>2</v>
      </c>
      <c r="B9" s="486"/>
      <c r="C9" s="465" t="s">
        <v>79</v>
      </c>
      <c r="D9" s="465"/>
      <c r="E9" s="467">
        <v>11111111</v>
      </c>
      <c r="F9" s="423"/>
      <c r="G9" s="496"/>
    </row>
    <row r="10" spans="1:7" s="427" customFormat="1" ht="14.25">
      <c r="A10" s="478">
        <f t="shared" si="0"/>
        <v>3</v>
      </c>
      <c r="B10" s="486"/>
      <c r="C10" s="482" t="s">
        <v>243</v>
      </c>
      <c r="D10" s="482"/>
      <c r="E10" s="468">
        <v>22222222</v>
      </c>
      <c r="F10" s="428"/>
      <c r="G10" s="500"/>
    </row>
    <row r="11" spans="1:7" ht="14.25">
      <c r="A11" s="477">
        <f t="shared" si="0"/>
        <v>4</v>
      </c>
      <c r="B11" s="486"/>
      <c r="C11" s="465" t="s">
        <v>112</v>
      </c>
      <c r="D11" s="465"/>
      <c r="E11" s="469">
        <f>E8-E9-E10</f>
        <v>166666666</v>
      </c>
      <c r="F11" s="421">
        <f>F8-F9-F10</f>
        <v>0</v>
      </c>
      <c r="G11" s="501">
        <f>G8-G9-G10</f>
        <v>0</v>
      </c>
    </row>
    <row r="12" spans="1:7" ht="14.25">
      <c r="A12" s="477">
        <f t="shared" si="0"/>
        <v>5</v>
      </c>
      <c r="B12" s="486"/>
      <c r="C12" s="465" t="s">
        <v>34</v>
      </c>
      <c r="D12" s="465"/>
      <c r="E12" s="470">
        <f>'Working Cash Capital'!D28*0.125</f>
        <v>1129.375</v>
      </c>
      <c r="F12" s="423"/>
      <c r="G12" s="496"/>
    </row>
    <row r="13" spans="1:7" s="420" customFormat="1" ht="15" thickBot="1">
      <c r="A13" s="477">
        <f t="shared" si="0"/>
        <v>6</v>
      </c>
      <c r="B13" s="485"/>
      <c r="C13" s="483" t="s">
        <v>80</v>
      </c>
      <c r="D13" s="484"/>
      <c r="E13" s="471">
        <f>SUM(E11:E12)</f>
        <v>166667795.375</v>
      </c>
      <c r="F13" s="421">
        <f>SUM(F11:F12)</f>
        <v>0</v>
      </c>
      <c r="G13" s="501">
        <f>SUM(G11:G12)</f>
        <v>0</v>
      </c>
    </row>
    <row r="14" spans="1:7" ht="15" thickTop="1">
      <c r="A14" s="477">
        <f t="shared" si="0"/>
        <v>7</v>
      </c>
      <c r="B14" s="486"/>
      <c r="C14" s="465" t="s">
        <v>242</v>
      </c>
      <c r="D14" s="488">
        <f>'ES 3.21'!T19</f>
        <v>0.08323000000000001</v>
      </c>
      <c r="E14" s="465"/>
      <c r="F14" s="423"/>
      <c r="G14" s="496"/>
    </row>
    <row r="15" spans="1:7" ht="14.25">
      <c r="A15" s="477">
        <f t="shared" si="0"/>
        <v>8</v>
      </c>
      <c r="B15" s="486"/>
      <c r="C15" s="465" t="s">
        <v>241</v>
      </c>
      <c r="D15" s="465"/>
      <c r="E15" s="472">
        <f>D14/12</f>
        <v>0.006935833333333335</v>
      </c>
      <c r="F15" s="425">
        <v>0.0772</v>
      </c>
      <c r="G15" s="503">
        <v>0.0772</v>
      </c>
    </row>
    <row r="16" spans="1:7" ht="14.25">
      <c r="A16" s="477">
        <f t="shared" si="0"/>
        <v>9</v>
      </c>
      <c r="B16" s="486"/>
      <c r="C16" s="465" t="s">
        <v>239</v>
      </c>
      <c r="D16" s="465"/>
      <c r="E16" s="467">
        <f>E13*E15</f>
        <v>1155980.0507551043</v>
      </c>
      <c r="F16" s="423"/>
      <c r="G16" s="496"/>
    </row>
    <row r="17" spans="1:7" ht="14.25">
      <c r="A17" s="477">
        <f t="shared" si="0"/>
        <v>10</v>
      </c>
      <c r="B17" s="486"/>
      <c r="C17" s="465" t="s">
        <v>264</v>
      </c>
      <c r="D17" s="465"/>
      <c r="E17" s="467">
        <v>2222222</v>
      </c>
      <c r="F17" s="423"/>
      <c r="G17" s="496"/>
    </row>
    <row r="18" spans="1:7" ht="14.25">
      <c r="A18" s="477">
        <f t="shared" si="0"/>
        <v>11</v>
      </c>
      <c r="B18" s="486"/>
      <c r="C18" s="465" t="s">
        <v>263</v>
      </c>
      <c r="D18" s="465"/>
      <c r="E18" s="467">
        <v>1111111</v>
      </c>
      <c r="F18" s="423"/>
      <c r="G18" s="496"/>
    </row>
    <row r="19" spans="1:7" ht="14.25">
      <c r="A19" s="477">
        <f t="shared" si="0"/>
        <v>12</v>
      </c>
      <c r="B19" s="486"/>
      <c r="C19" s="465" t="s">
        <v>272</v>
      </c>
      <c r="D19" s="465"/>
      <c r="E19" s="467">
        <v>15625</v>
      </c>
      <c r="F19" s="423"/>
      <c r="G19" s="496"/>
    </row>
    <row r="20" spans="1:7" ht="14.25">
      <c r="A20" s="477">
        <v>13</v>
      </c>
      <c r="B20" s="486"/>
      <c r="C20" s="465" t="s">
        <v>321</v>
      </c>
      <c r="D20" s="465"/>
      <c r="E20" s="467">
        <v>0</v>
      </c>
      <c r="F20" s="423"/>
      <c r="G20" s="496"/>
    </row>
    <row r="21" spans="1:7" s="420" customFormat="1" ht="15" thickBot="1">
      <c r="A21" s="477">
        <v>14</v>
      </c>
      <c r="B21" s="485"/>
      <c r="C21" s="483" t="s">
        <v>230</v>
      </c>
      <c r="D21" s="484"/>
      <c r="E21" s="471">
        <f>SUM(E16:E20)</f>
        <v>4504938.050755104</v>
      </c>
      <c r="F21" s="421"/>
      <c r="G21" s="501"/>
    </row>
    <row r="22" spans="1:7" ht="15" thickTop="1">
      <c r="A22" s="477">
        <v>15</v>
      </c>
      <c r="B22" s="486"/>
      <c r="C22" s="465" t="s">
        <v>267</v>
      </c>
      <c r="D22" s="465"/>
      <c r="E22" s="467">
        <v>22222</v>
      </c>
      <c r="F22" s="423"/>
      <c r="G22" s="496"/>
    </row>
    <row r="23" spans="1:7" s="420" customFormat="1" ht="15" thickBot="1">
      <c r="A23" s="477">
        <f t="shared" si="0"/>
        <v>16</v>
      </c>
      <c r="B23" s="485"/>
      <c r="C23" s="483" t="s">
        <v>226</v>
      </c>
      <c r="D23" s="484"/>
      <c r="E23" s="471">
        <f>SUM(E22:E22)</f>
        <v>22222</v>
      </c>
      <c r="F23" s="422"/>
      <c r="G23" s="501"/>
    </row>
    <row r="24" spans="1:7" ht="15" thickTop="1">
      <c r="A24" s="477">
        <f t="shared" si="0"/>
        <v>17</v>
      </c>
      <c r="B24" s="486"/>
      <c r="C24" s="465" t="s">
        <v>98</v>
      </c>
      <c r="D24" s="465"/>
      <c r="E24" s="467">
        <f>E8*0.0352/12</f>
        <v>586666.6637333333</v>
      </c>
      <c r="F24" s="423"/>
      <c r="G24" s="496"/>
    </row>
    <row r="25" spans="1:7" s="420" customFormat="1" ht="15" thickBot="1">
      <c r="A25" s="477">
        <f>A24+1</f>
        <v>18</v>
      </c>
      <c r="B25" s="485"/>
      <c r="C25" s="521" t="s">
        <v>225</v>
      </c>
      <c r="D25" s="484"/>
      <c r="E25" s="471">
        <f>SUM(E24:E24)</f>
        <v>586666.6637333333</v>
      </c>
      <c r="F25" s="422">
        <f>SUM(F24:F24)</f>
        <v>0</v>
      </c>
      <c r="G25" s="501">
        <f>SUM(G24:G24)</f>
        <v>0</v>
      </c>
    </row>
    <row r="26" spans="1:7" s="420" customFormat="1" ht="15" thickTop="1">
      <c r="A26" s="477">
        <f t="shared" si="0"/>
        <v>19</v>
      </c>
      <c r="B26" s="485"/>
      <c r="C26" s="521" t="s">
        <v>224</v>
      </c>
      <c r="D26" s="484"/>
      <c r="E26" s="469">
        <f>SUM(E21+E23+E25)</f>
        <v>5113826.714488437</v>
      </c>
      <c r="F26" s="421">
        <f>SUM(F21+F23+F25)</f>
        <v>0</v>
      </c>
      <c r="G26" s="501">
        <f>SUM(G21+G23+G25)</f>
        <v>0</v>
      </c>
    </row>
    <row r="27" spans="1:7" s="420" customFormat="1" ht="14.25">
      <c r="A27" s="477">
        <f t="shared" si="0"/>
        <v>20</v>
      </c>
      <c r="B27" s="485"/>
      <c r="C27" s="483" t="s">
        <v>269</v>
      </c>
      <c r="D27" s="520">
        <v>0.15</v>
      </c>
      <c r="E27" s="469">
        <f>E26*D27</f>
        <v>767074.0071732656</v>
      </c>
      <c r="F27" s="421"/>
      <c r="G27" s="501"/>
    </row>
    <row r="28" spans="1:7" ht="15" thickBot="1">
      <c r="A28" s="479"/>
      <c r="B28" s="486"/>
      <c r="C28" s="476"/>
      <c r="D28" s="476"/>
      <c r="E28" s="476"/>
      <c r="G28" s="495"/>
    </row>
    <row r="31" ht="14.25">
      <c r="A31" s="419" t="s">
        <v>27</v>
      </c>
    </row>
    <row r="32" spans="1:5" ht="24" customHeight="1">
      <c r="A32" s="606" t="s">
        <v>341</v>
      </c>
      <c r="B32" s="606"/>
      <c r="C32" s="606"/>
      <c r="D32" s="606"/>
      <c r="E32" s="606"/>
    </row>
    <row r="33" spans="1:5" ht="14.25" customHeight="1" hidden="1">
      <c r="A33" s="606"/>
      <c r="B33" s="606"/>
      <c r="C33" s="606"/>
      <c r="D33" s="606"/>
      <c r="E33" s="606"/>
    </row>
    <row r="34" spans="1:5" ht="14.25" customHeight="1" hidden="1">
      <c r="A34" s="606"/>
      <c r="B34" s="606"/>
      <c r="C34" s="606"/>
      <c r="D34" s="606"/>
      <c r="E34" s="606"/>
    </row>
    <row r="35" ht="14.25">
      <c r="C35" s="418" t="s">
        <v>27</v>
      </c>
    </row>
  </sheetData>
  <sheetProtection/>
  <mergeCells count="6">
    <mergeCell ref="A1:G1"/>
    <mergeCell ref="A2:G2"/>
    <mergeCell ref="A3:G3"/>
    <mergeCell ref="A5:A6"/>
    <mergeCell ref="E5:E6"/>
    <mergeCell ref="A32:E3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P66"/>
  <sheetViews>
    <sheetView zoomScalePageLayoutView="0" workbookViewId="0" topLeftCell="A1">
      <selection activeCell="V34" sqref="V34"/>
    </sheetView>
  </sheetViews>
  <sheetFormatPr defaultColWidth="9.140625" defaultRowHeight="12.75"/>
  <cols>
    <col min="1" max="1" width="3.7109375" style="0" customWidth="1"/>
    <col min="2" max="2" width="6.7109375" style="2" customWidth="1"/>
    <col min="3" max="3" width="0.2890625" style="2" customWidth="1"/>
    <col min="4" max="4" width="15.8515625" style="0" customWidth="1"/>
    <col min="5" max="5" width="0.2890625" style="0" customWidth="1"/>
    <col min="6" max="6" width="12.7109375" style="0" customWidth="1"/>
    <col min="7" max="7" width="0.2890625" style="0" customWidth="1"/>
    <col min="8" max="8" width="12.7109375" style="0" customWidth="1"/>
    <col min="9" max="9" width="0.2890625" style="0" customWidth="1"/>
    <col min="10" max="10" width="12.7109375" style="0" customWidth="1"/>
    <col min="11" max="11" width="0.2890625" style="0" customWidth="1"/>
    <col min="12" max="12" width="2.57421875" style="0" bestFit="1" customWidth="1"/>
    <col min="13" max="13" width="0.2890625" style="0" customWidth="1"/>
    <col min="14" max="14" width="14.7109375" style="0" customWidth="1"/>
    <col min="15" max="15" width="0.2890625" style="0" customWidth="1"/>
    <col min="16" max="16" width="9.8515625" style="0" bestFit="1" customWidth="1"/>
    <col min="17" max="17" width="0.2890625" style="0" customWidth="1"/>
    <col min="18" max="18" width="2.57421875" style="0" bestFit="1" customWidth="1"/>
    <col min="19" max="19" width="0.2890625" style="0" customWidth="1"/>
    <col min="20" max="20" width="14.00390625" style="0" bestFit="1" customWidth="1"/>
    <col min="21" max="21" width="3.7109375" style="0" customWidth="1"/>
    <col min="22" max="22" width="8.7109375" style="0" customWidth="1"/>
    <col min="23" max="24" width="8.7109375" style="123" customWidth="1"/>
    <col min="25" max="42" width="8.7109375" style="62" customWidth="1"/>
    <col min="43" max="45" width="8.7109375" style="0" customWidth="1"/>
  </cols>
  <sheetData>
    <row r="2" ht="12.75">
      <c r="T2" t="s">
        <v>1</v>
      </c>
    </row>
    <row r="4" spans="2:29" ht="12.75">
      <c r="B4" s="595" t="s">
        <v>44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AB4" s="143"/>
      <c r="AC4" s="123"/>
    </row>
    <row r="5" spans="2:29" ht="12.75">
      <c r="B5" s="607" t="s">
        <v>75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AB5" s="143"/>
      <c r="AC5" s="123"/>
    </row>
    <row r="6" spans="2:29" ht="12.75">
      <c r="B6" s="607" t="s">
        <v>13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AC6" s="123"/>
    </row>
    <row r="7" spans="6:31" ht="12.75">
      <c r="F7" s="111"/>
      <c r="G7" s="34"/>
      <c r="H7" s="59"/>
      <c r="J7" s="32"/>
      <c r="AA7" s="144"/>
      <c r="AB7" s="145"/>
      <c r="AC7" s="146"/>
      <c r="AE7" s="147"/>
    </row>
    <row r="8" spans="2:29" ht="12.75">
      <c r="B8" s="608" t="str">
        <f>+'ES 1.0'!E7</f>
        <v>For the Expense Month of Sample Only</v>
      </c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AC8" s="148"/>
    </row>
    <row r="9" ht="13.5" thickBot="1"/>
    <row r="10" spans="2:42" ht="30" customHeight="1" thickBot="1">
      <c r="B10" s="35" t="s">
        <v>59</v>
      </c>
      <c r="C10" s="44"/>
      <c r="D10" s="36" t="s">
        <v>14</v>
      </c>
      <c r="E10" s="44"/>
      <c r="F10" s="36" t="s">
        <v>15</v>
      </c>
      <c r="G10" s="44"/>
      <c r="H10" s="36" t="s">
        <v>16</v>
      </c>
      <c r="I10" s="44"/>
      <c r="J10" s="37" t="s">
        <v>17</v>
      </c>
      <c r="K10" s="49"/>
      <c r="L10" s="36"/>
      <c r="M10" s="44"/>
      <c r="N10" s="37" t="s">
        <v>18</v>
      </c>
      <c r="O10" s="49"/>
      <c r="P10" s="36" t="s">
        <v>66</v>
      </c>
      <c r="Q10" s="44"/>
      <c r="R10" s="36"/>
      <c r="S10" s="44"/>
      <c r="T10" s="38" t="s">
        <v>19</v>
      </c>
      <c r="U10" s="3"/>
      <c r="W10" s="122"/>
      <c r="X10" s="122"/>
      <c r="Y10" s="122"/>
      <c r="Z10" s="122"/>
      <c r="AA10" s="122"/>
      <c r="AB10" s="122"/>
      <c r="AC10" s="122"/>
      <c r="AD10" s="122"/>
      <c r="AE10" s="149"/>
      <c r="AF10" s="149"/>
      <c r="AG10" s="122"/>
      <c r="AH10" s="122"/>
      <c r="AI10" s="149"/>
      <c r="AJ10" s="149"/>
      <c r="AK10" s="122"/>
      <c r="AL10" s="122"/>
      <c r="AM10" s="122"/>
      <c r="AN10" s="122"/>
      <c r="AO10" s="122"/>
      <c r="AP10" s="122"/>
    </row>
    <row r="11" spans="2:42" ht="30" customHeight="1" thickBot="1">
      <c r="B11" s="66"/>
      <c r="C11" s="128"/>
      <c r="D11" s="67"/>
      <c r="E11" s="128"/>
      <c r="F11" s="159" t="s">
        <v>305</v>
      </c>
      <c r="G11" s="128"/>
      <c r="H11" s="67"/>
      <c r="I11" s="128"/>
      <c r="J11" s="129"/>
      <c r="K11" s="130"/>
      <c r="L11" s="67"/>
      <c r="M11" s="128"/>
      <c r="N11" s="129"/>
      <c r="O11" s="130"/>
      <c r="P11" s="67"/>
      <c r="Q11" s="128"/>
      <c r="R11" s="67"/>
      <c r="S11" s="128"/>
      <c r="T11" s="69"/>
      <c r="U11" s="3"/>
      <c r="W11" s="122"/>
      <c r="X11" s="122"/>
      <c r="Y11" s="122"/>
      <c r="Z11" s="122"/>
      <c r="AA11" s="122"/>
      <c r="AB11" s="122"/>
      <c r="AC11" s="122"/>
      <c r="AD11" s="122"/>
      <c r="AE11" s="149"/>
      <c r="AF11" s="149"/>
      <c r="AG11" s="122"/>
      <c r="AH11" s="122"/>
      <c r="AI11" s="149"/>
      <c r="AJ11" s="149"/>
      <c r="AK11" s="122"/>
      <c r="AL11" s="122"/>
      <c r="AM11" s="122"/>
      <c r="AN11" s="122"/>
      <c r="AO11" s="122"/>
      <c r="AP11" s="122"/>
    </row>
    <row r="12" spans="2:20" ht="12.75">
      <c r="B12" s="4"/>
      <c r="C12" s="29"/>
      <c r="D12" s="5"/>
      <c r="E12" s="17"/>
      <c r="F12" s="5"/>
      <c r="G12" s="17"/>
      <c r="H12" s="5"/>
      <c r="I12" s="17"/>
      <c r="J12" s="5"/>
      <c r="K12" s="17"/>
      <c r="L12" s="5"/>
      <c r="M12" s="17"/>
      <c r="N12" s="5"/>
      <c r="O12" s="17"/>
      <c r="P12" s="5"/>
      <c r="Q12" s="17"/>
      <c r="R12" s="5"/>
      <c r="S12" s="17"/>
      <c r="T12" s="6"/>
    </row>
    <row r="13" spans="2:41" ht="12.75">
      <c r="B13" s="9">
        <v>1</v>
      </c>
      <c r="C13" s="30"/>
      <c r="D13" s="10" t="s">
        <v>58</v>
      </c>
      <c r="E13" s="19"/>
      <c r="F13" s="217">
        <v>63595049</v>
      </c>
      <c r="G13" s="46"/>
      <c r="H13" s="82">
        <f>F13/$F$19</f>
        <v>0.25166248576962424</v>
      </c>
      <c r="I13" s="48"/>
      <c r="J13" s="218">
        <v>0.022486</v>
      </c>
      <c r="K13" s="48"/>
      <c r="L13" s="10"/>
      <c r="M13" s="19"/>
      <c r="N13" s="154">
        <f>ROUND(H13*J13,6)</f>
        <v>0.005659</v>
      </c>
      <c r="O13" s="48"/>
      <c r="P13" s="10"/>
      <c r="Q13" s="19"/>
      <c r="R13" s="10"/>
      <c r="S13" s="19"/>
      <c r="T13" s="78">
        <f>+N13</f>
        <v>0.005659</v>
      </c>
      <c r="W13" s="124"/>
      <c r="X13" s="124"/>
      <c r="AA13" s="131"/>
      <c r="AB13" s="132"/>
      <c r="AC13" s="133"/>
      <c r="AD13" s="133"/>
      <c r="AE13" s="134"/>
      <c r="AF13" s="133"/>
      <c r="AI13" s="134"/>
      <c r="AJ13" s="133"/>
      <c r="AO13" s="133"/>
    </row>
    <row r="14" spans="2:41" ht="12.75">
      <c r="B14" s="9">
        <f>+B13+1</f>
        <v>2</v>
      </c>
      <c r="C14" s="30"/>
      <c r="D14" s="10" t="s">
        <v>60</v>
      </c>
      <c r="E14" s="19"/>
      <c r="F14" s="217">
        <v>94645453</v>
      </c>
      <c r="G14" s="46"/>
      <c r="H14" s="82">
        <f>F14/$F$19</f>
        <v>0.3745371745648335</v>
      </c>
      <c r="I14" s="48"/>
      <c r="J14" s="218">
        <v>0.003061</v>
      </c>
      <c r="K14" s="48"/>
      <c r="L14" s="10"/>
      <c r="M14" s="19"/>
      <c r="N14" s="154">
        <f>ROUND(H14*J14,6)</f>
        <v>0.001146</v>
      </c>
      <c r="O14" s="48"/>
      <c r="P14" s="10"/>
      <c r="Q14" s="19"/>
      <c r="R14" s="10"/>
      <c r="S14" s="19"/>
      <c r="T14" s="78">
        <f>+N14</f>
        <v>0.001146</v>
      </c>
      <c r="W14" s="124"/>
      <c r="X14" s="124"/>
      <c r="AA14" s="131"/>
      <c r="AB14" s="132"/>
      <c r="AC14" s="133"/>
      <c r="AD14" s="133"/>
      <c r="AE14" s="134"/>
      <c r="AF14" s="133"/>
      <c r="AI14" s="134"/>
      <c r="AJ14" s="133"/>
      <c r="AO14" s="133"/>
    </row>
    <row r="15" spans="2:41" ht="26.25">
      <c r="B15" s="9">
        <f>+B14+1</f>
        <v>3</v>
      </c>
      <c r="C15" s="30"/>
      <c r="D15" s="12" t="s">
        <v>45</v>
      </c>
      <c r="E15" s="19">
        <v>0</v>
      </c>
      <c r="F15" s="217">
        <v>0</v>
      </c>
      <c r="G15" s="46"/>
      <c r="H15" s="82">
        <v>0</v>
      </c>
      <c r="I15" s="48"/>
      <c r="J15" s="218">
        <v>0.013704</v>
      </c>
      <c r="K15" s="48"/>
      <c r="L15" s="10"/>
      <c r="M15" s="19"/>
      <c r="N15" s="154">
        <f>ROUND(H15*J15,6)</f>
        <v>0</v>
      </c>
      <c r="O15" s="48"/>
      <c r="P15" s="10"/>
      <c r="Q15" s="19"/>
      <c r="R15" s="10"/>
      <c r="S15" s="19"/>
      <c r="T15" s="78">
        <f>+N15</f>
        <v>0</v>
      </c>
      <c r="W15" s="124"/>
      <c r="X15" s="124"/>
      <c r="AA15" s="131"/>
      <c r="AB15" s="132"/>
      <c r="AC15" s="133"/>
      <c r="AD15" s="133"/>
      <c r="AE15" s="134"/>
      <c r="AF15" s="133"/>
      <c r="AI15" s="134"/>
      <c r="AJ15" s="133"/>
      <c r="AO15" s="133"/>
    </row>
    <row r="16" spans="2:41" ht="12.75">
      <c r="B16" s="9">
        <f>+B15+1</f>
        <v>4</v>
      </c>
      <c r="C16" s="30"/>
      <c r="D16" s="28" t="s">
        <v>61</v>
      </c>
      <c r="E16" s="31"/>
      <c r="F16" s="217"/>
      <c r="G16" s="46"/>
      <c r="H16" s="82">
        <f>F16/$F$19</f>
        <v>0</v>
      </c>
      <c r="I16" s="48"/>
      <c r="J16" s="219"/>
      <c r="K16" s="48"/>
      <c r="L16" s="10"/>
      <c r="M16" s="19"/>
      <c r="N16" s="82"/>
      <c r="O16" s="48"/>
      <c r="P16" s="10"/>
      <c r="Q16" s="19"/>
      <c r="R16" s="10"/>
      <c r="S16" s="19"/>
      <c r="T16" s="78"/>
      <c r="W16" s="124"/>
      <c r="X16" s="124"/>
      <c r="Y16" s="123"/>
      <c r="Z16" s="123"/>
      <c r="AA16" s="131"/>
      <c r="AB16" s="132"/>
      <c r="AC16" s="133"/>
      <c r="AD16" s="133"/>
      <c r="AE16" s="133"/>
      <c r="AF16" s="133"/>
      <c r="AI16" s="133"/>
      <c r="AJ16" s="133"/>
      <c r="AO16" s="133"/>
    </row>
    <row r="17" spans="2:41" ht="12.75">
      <c r="B17" s="9">
        <f>+B16+1</f>
        <v>5</v>
      </c>
      <c r="C17" s="30"/>
      <c r="D17" s="10" t="s">
        <v>62</v>
      </c>
      <c r="E17" s="19"/>
      <c r="F17" s="217">
        <v>94459255</v>
      </c>
      <c r="G17" s="46"/>
      <c r="H17" s="82">
        <f>F17/$F$19</f>
        <v>0.3738003396655423</v>
      </c>
      <c r="I17" s="48"/>
      <c r="J17" s="220">
        <v>0.1216</v>
      </c>
      <c r="K17" s="48"/>
      <c r="L17" s="41" t="s">
        <v>67</v>
      </c>
      <c r="M17" s="50"/>
      <c r="N17" s="154">
        <f>ROUND(H17*J17,6)</f>
        <v>0.045454</v>
      </c>
      <c r="O17" s="48"/>
      <c r="P17" s="40">
        <f>+P36</f>
        <v>1.6813787305590584</v>
      </c>
      <c r="Q17" s="48"/>
      <c r="R17" s="41" t="s">
        <v>68</v>
      </c>
      <c r="S17" s="50"/>
      <c r="T17" s="78">
        <f>ROUND(N17*P17,6)</f>
        <v>0.076425</v>
      </c>
      <c r="W17" s="124"/>
      <c r="X17" s="124"/>
      <c r="AA17" s="131"/>
      <c r="AB17" s="132"/>
      <c r="AC17" s="133"/>
      <c r="AD17" s="133"/>
      <c r="AE17" s="133"/>
      <c r="AF17" s="133"/>
      <c r="AG17" s="135"/>
      <c r="AH17" s="135"/>
      <c r="AI17" s="134"/>
      <c r="AJ17" s="133"/>
      <c r="AK17" s="133"/>
      <c r="AL17" s="133"/>
      <c r="AM17" s="135"/>
      <c r="AN17" s="135"/>
      <c r="AO17" s="133"/>
    </row>
    <row r="18" spans="2:41" ht="12.75">
      <c r="B18" s="9"/>
      <c r="C18" s="30"/>
      <c r="D18" s="10"/>
      <c r="E18" s="19"/>
      <c r="F18" s="42" t="s">
        <v>65</v>
      </c>
      <c r="G18" s="47"/>
      <c r="H18" s="153" t="s">
        <v>65</v>
      </c>
      <c r="I18" s="47"/>
      <c r="J18" s="40"/>
      <c r="K18" s="48"/>
      <c r="L18" s="10"/>
      <c r="M18" s="19"/>
      <c r="N18" s="153" t="s">
        <v>65</v>
      </c>
      <c r="O18" s="47"/>
      <c r="P18" s="10"/>
      <c r="Q18" s="19"/>
      <c r="R18" s="10"/>
      <c r="S18" s="19"/>
      <c r="T18" s="155" t="s">
        <v>65</v>
      </c>
      <c r="W18" s="124"/>
      <c r="X18" s="124"/>
      <c r="AA18" s="136"/>
      <c r="AB18" s="136"/>
      <c r="AC18" s="136"/>
      <c r="AD18" s="136"/>
      <c r="AE18" s="133"/>
      <c r="AF18" s="133"/>
      <c r="AI18" s="136"/>
      <c r="AJ18" s="136"/>
      <c r="AO18" s="136"/>
    </row>
    <row r="19" spans="2:41" ht="12.75">
      <c r="B19" s="9">
        <f>+B17+1</f>
        <v>6</v>
      </c>
      <c r="C19" s="30"/>
      <c r="D19" s="28" t="s">
        <v>63</v>
      </c>
      <c r="E19" s="19"/>
      <c r="F19" s="112">
        <f>SUM(F13:F17)</f>
        <v>252699757</v>
      </c>
      <c r="G19" s="46"/>
      <c r="H19" s="82">
        <f>SUM(H13:H17)</f>
        <v>1</v>
      </c>
      <c r="I19" s="48"/>
      <c r="J19" s="40"/>
      <c r="K19" s="48"/>
      <c r="L19" s="10"/>
      <c r="M19" s="19"/>
      <c r="N19" s="82">
        <f>SUM(N13:N18)</f>
        <v>0.052259</v>
      </c>
      <c r="O19" s="48"/>
      <c r="P19" s="10"/>
      <c r="Q19" s="19"/>
      <c r="R19" s="10"/>
      <c r="S19" s="19"/>
      <c r="T19" s="78">
        <f>SUM(T13:T18)</f>
        <v>0.08323000000000001</v>
      </c>
      <c r="W19" s="124"/>
      <c r="X19" s="124"/>
      <c r="Y19" s="123"/>
      <c r="AA19" s="137"/>
      <c r="AB19" s="132"/>
      <c r="AC19" s="133"/>
      <c r="AD19" s="133"/>
      <c r="AE19" s="133"/>
      <c r="AF19" s="133"/>
      <c r="AI19" s="133"/>
      <c r="AJ19" s="133"/>
      <c r="AO19" s="133"/>
    </row>
    <row r="20" spans="2:41" ht="12.75">
      <c r="B20" s="9"/>
      <c r="C20" s="30"/>
      <c r="D20" s="10"/>
      <c r="E20" s="19"/>
      <c r="F20" s="42" t="s">
        <v>64</v>
      </c>
      <c r="G20" s="47"/>
      <c r="H20" s="42" t="s">
        <v>64</v>
      </c>
      <c r="I20" s="47"/>
      <c r="J20" s="10"/>
      <c r="K20" s="19"/>
      <c r="L20" s="10"/>
      <c r="M20" s="19"/>
      <c r="N20" s="153" t="s">
        <v>64</v>
      </c>
      <c r="O20" s="47"/>
      <c r="P20" s="10"/>
      <c r="Q20" s="19"/>
      <c r="R20" s="10"/>
      <c r="S20" s="19"/>
      <c r="T20" s="155" t="s">
        <v>64</v>
      </c>
      <c r="W20" s="124"/>
      <c r="X20" s="124"/>
      <c r="AA20" s="136"/>
      <c r="AB20" s="136"/>
      <c r="AC20" s="136"/>
      <c r="AD20" s="136"/>
      <c r="AI20" s="136"/>
      <c r="AJ20" s="136"/>
      <c r="AO20" s="136"/>
    </row>
    <row r="21" spans="2:24" ht="13.5" thickBot="1">
      <c r="B21" s="43"/>
      <c r="C21" s="45"/>
      <c r="D21" s="15"/>
      <c r="E21" s="20"/>
      <c r="F21" s="15"/>
      <c r="G21" s="20"/>
      <c r="H21" s="15"/>
      <c r="I21" s="20"/>
      <c r="J21" s="15"/>
      <c r="K21" s="20"/>
      <c r="L21" s="15"/>
      <c r="M21" s="20"/>
      <c r="N21" s="15"/>
      <c r="O21" s="20"/>
      <c r="P21" s="15"/>
      <c r="Q21" s="20"/>
      <c r="R21" s="15"/>
      <c r="S21" s="20"/>
      <c r="T21" s="16"/>
      <c r="W21" s="124"/>
      <c r="X21" s="124"/>
    </row>
    <row r="22" spans="2:24" ht="12.75">
      <c r="B22" s="51"/>
      <c r="C22" s="5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7"/>
      <c r="P22" s="5"/>
      <c r="Q22" s="17"/>
      <c r="R22" s="5"/>
      <c r="S22" s="5"/>
      <c r="T22" s="6"/>
      <c r="W22" s="124"/>
      <c r="X22" s="124"/>
    </row>
    <row r="23" spans="2:37" ht="12.75">
      <c r="B23" s="125"/>
      <c r="C23" s="27"/>
      <c r="D23" s="10" t="s">
        <v>21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9"/>
      <c r="P23" s="53"/>
      <c r="Q23" s="19"/>
      <c r="R23" s="10"/>
      <c r="S23" s="10"/>
      <c r="T23" s="14"/>
      <c r="W23" s="124"/>
      <c r="X23" s="124"/>
      <c r="AK23" s="138"/>
    </row>
    <row r="24" spans="2:24" ht="12.75">
      <c r="B24" s="125" t="s">
        <v>67</v>
      </c>
      <c r="C24" s="27"/>
      <c r="D24" s="10" t="s">
        <v>22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  <c r="P24" s="10"/>
      <c r="Q24" s="19"/>
      <c r="R24" s="10"/>
      <c r="S24" s="10"/>
      <c r="T24" s="14"/>
      <c r="W24" s="124"/>
      <c r="X24" s="124"/>
    </row>
    <row r="25" spans="2:24" ht="12.75">
      <c r="B25" s="9"/>
      <c r="C25" s="2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  <c r="P25" s="10"/>
      <c r="Q25" s="19"/>
      <c r="R25" s="10"/>
      <c r="S25" s="10"/>
      <c r="T25" s="14"/>
      <c r="W25" s="124"/>
      <c r="X25" s="124"/>
    </row>
    <row r="26" spans="2:24" ht="12.75">
      <c r="B26" s="125" t="s">
        <v>68</v>
      </c>
      <c r="C26" s="27"/>
      <c r="D26" s="10" t="s">
        <v>23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  <c r="P26" s="10"/>
      <c r="Q26" s="19"/>
      <c r="R26" s="10"/>
      <c r="S26" s="10"/>
      <c r="T26" s="14"/>
      <c r="W26" s="124"/>
      <c r="X26" s="124"/>
    </row>
    <row r="27" spans="2:24" ht="12.75">
      <c r="B27" s="9"/>
      <c r="C27" s="2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9"/>
      <c r="P27" s="10"/>
      <c r="Q27" s="19"/>
      <c r="R27" s="10"/>
      <c r="S27" s="10"/>
      <c r="T27" s="14"/>
      <c r="W27" s="124"/>
      <c r="X27" s="124"/>
    </row>
    <row r="28" spans="2:37" ht="12.75">
      <c r="B28" s="9">
        <v>7</v>
      </c>
      <c r="C28" s="27"/>
      <c r="D28" s="10" t="s">
        <v>69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  <c r="P28" s="54">
        <v>100</v>
      </c>
      <c r="Q28" s="19"/>
      <c r="R28" s="10"/>
      <c r="S28" s="10"/>
      <c r="T28" s="14"/>
      <c r="W28" s="124"/>
      <c r="X28" s="124"/>
      <c r="AK28" s="139"/>
    </row>
    <row r="29" spans="2:24" ht="12.75">
      <c r="B29" s="9">
        <f>+B28+1</f>
        <v>8</v>
      </c>
      <c r="C29" s="27"/>
      <c r="D29" s="150" t="s">
        <v>29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9"/>
      <c r="P29" s="10"/>
      <c r="Q29" s="19"/>
      <c r="R29" s="10"/>
      <c r="S29" s="10"/>
      <c r="T29" s="14"/>
      <c r="W29" s="124"/>
      <c r="X29" s="124"/>
    </row>
    <row r="30" spans="2:37" ht="12.75">
      <c r="B30" s="9">
        <f aca="true" t="shared" si="0" ref="B30:B36">+B29+1</f>
        <v>9</v>
      </c>
      <c r="C30" s="27"/>
      <c r="D30" s="150" t="s">
        <v>28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  <c r="P30" s="55">
        <f>ROUND(P28*0.085,3)</f>
        <v>8.5</v>
      </c>
      <c r="Q30" s="19"/>
      <c r="R30" s="10"/>
      <c r="S30" s="10"/>
      <c r="T30" s="14"/>
      <c r="W30" s="124"/>
      <c r="X30" s="124"/>
      <c r="AK30" s="140"/>
    </row>
    <row r="31" spans="2:37" ht="12.75">
      <c r="B31" s="9">
        <f t="shared" si="0"/>
        <v>10</v>
      </c>
      <c r="C31" s="27"/>
      <c r="D31" s="10" t="s">
        <v>70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  <c r="P31" s="56">
        <f>+P28-P30</f>
        <v>91.5</v>
      </c>
      <c r="Q31" s="19"/>
      <c r="R31" s="10"/>
      <c r="S31" s="10"/>
      <c r="T31" s="14"/>
      <c r="W31" s="124"/>
      <c r="X31" s="124"/>
      <c r="AK31" s="141"/>
    </row>
    <row r="32" spans="2:37" ht="12.75">
      <c r="B32" s="9">
        <f t="shared" si="0"/>
        <v>11</v>
      </c>
      <c r="C32" s="27"/>
      <c r="D32" s="10" t="s">
        <v>71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9"/>
      <c r="P32" s="56"/>
      <c r="Q32" s="19"/>
      <c r="R32" s="10"/>
      <c r="S32" s="10"/>
      <c r="T32" s="14"/>
      <c r="W32" s="124"/>
      <c r="X32" s="124"/>
      <c r="AK32" s="141"/>
    </row>
    <row r="33" spans="2:37" ht="12.75">
      <c r="B33" s="9">
        <f t="shared" si="0"/>
        <v>12</v>
      </c>
      <c r="C33" s="27"/>
      <c r="D33" s="10" t="s">
        <v>74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  <c r="P33" s="55">
        <f>ROUND(P31*0.35,3)</f>
        <v>32.025</v>
      </c>
      <c r="Q33" s="19"/>
      <c r="R33" s="10"/>
      <c r="S33" s="10"/>
      <c r="T33" s="14"/>
      <c r="W33" s="124"/>
      <c r="X33" s="124"/>
      <c r="AK33" s="140"/>
    </row>
    <row r="34" spans="2:37" ht="12.75">
      <c r="B34" s="9">
        <f t="shared" si="0"/>
        <v>13</v>
      </c>
      <c r="C34" s="28"/>
      <c r="D34" s="10" t="s">
        <v>72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  <c r="P34" s="56">
        <f>+P31-P33</f>
        <v>59.475</v>
      </c>
      <c r="Q34" s="19"/>
      <c r="R34" s="10"/>
      <c r="S34" s="10"/>
      <c r="T34" s="14"/>
      <c r="W34" s="124"/>
      <c r="AK34" s="141"/>
    </row>
    <row r="35" spans="2:37" ht="12.75">
      <c r="B35" s="9">
        <f t="shared" si="0"/>
        <v>14</v>
      </c>
      <c r="C35" s="28"/>
      <c r="D35" s="10" t="s">
        <v>73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9"/>
      <c r="P35" s="56"/>
      <c r="Q35" s="19"/>
      <c r="R35" s="10"/>
      <c r="S35" s="10"/>
      <c r="T35" s="14"/>
      <c r="W35" s="124"/>
      <c r="AK35" s="141"/>
    </row>
    <row r="36" spans="2:37" ht="12.75">
      <c r="B36" s="9">
        <f t="shared" si="0"/>
        <v>15</v>
      </c>
      <c r="C36" s="28"/>
      <c r="D36" s="214" t="s">
        <v>335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  <c r="P36" s="58">
        <f>100/P34</f>
        <v>1.6813787305590584</v>
      </c>
      <c r="Q36" s="19"/>
      <c r="R36" s="10"/>
      <c r="S36" s="10"/>
      <c r="T36" s="14"/>
      <c r="W36" s="124"/>
      <c r="AK36" s="142"/>
    </row>
    <row r="37" spans="2:37" ht="13.5" thickBot="1">
      <c r="B37" s="43"/>
      <c r="C37" s="8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0"/>
      <c r="P37" s="57"/>
      <c r="Q37" s="20"/>
      <c r="R37" s="15"/>
      <c r="S37" s="15"/>
      <c r="T37" s="16"/>
      <c r="W37" s="124"/>
      <c r="AK37" s="141"/>
    </row>
    <row r="40" ht="12.75">
      <c r="D40" t="s">
        <v>30</v>
      </c>
    </row>
    <row r="63" ht="12.75">
      <c r="D63" s="105" t="s">
        <v>32</v>
      </c>
    </row>
    <row r="65" spans="4:8" ht="12.75">
      <c r="D65" s="150" t="s">
        <v>31</v>
      </c>
      <c r="E65" s="10"/>
      <c r="F65" s="10"/>
      <c r="G65" s="10"/>
      <c r="H65" s="10"/>
    </row>
    <row r="66" spans="4:8" ht="12.75">
      <c r="D66" s="150"/>
      <c r="E66" s="10"/>
      <c r="F66" s="10"/>
      <c r="G66" s="10"/>
      <c r="H66" s="10"/>
    </row>
  </sheetData>
  <sheetProtection/>
  <mergeCells count="4">
    <mergeCell ref="B4:T4"/>
    <mergeCell ref="B5:T5"/>
    <mergeCell ref="B6:T6"/>
    <mergeCell ref="B8:T8"/>
  </mergeCells>
  <printOptions horizontalCentered="1"/>
  <pageMargins left="0" right="0" top="0.5" bottom="0.5" header="0" footer="0"/>
  <pageSetup horizontalDpi="300" verticalDpi="3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Q58"/>
  <sheetViews>
    <sheetView zoomScalePageLayoutView="0" workbookViewId="0" topLeftCell="A1">
      <pane ySplit="12" topLeftCell="A37" activePane="bottomLeft" state="frozen"/>
      <selection pane="topLeft" activeCell="J15" sqref="J15"/>
      <selection pane="bottomLeft" activeCell="I39" sqref="I39"/>
    </sheetView>
  </sheetViews>
  <sheetFormatPr defaultColWidth="9.140625" defaultRowHeight="12.75"/>
  <cols>
    <col min="1" max="1" width="3.7109375" style="0" customWidth="1"/>
    <col min="2" max="2" width="4.421875" style="2" bestFit="1" customWidth="1"/>
    <col min="3" max="3" width="0.71875" style="2" customWidth="1"/>
    <col min="4" max="4" width="1.28515625" style="2" customWidth="1"/>
    <col min="5" max="5" width="35.7109375" style="0" customWidth="1"/>
    <col min="6" max="6" width="0.2890625" style="0" customWidth="1"/>
    <col min="7" max="7" width="30.7109375" style="0" customWidth="1"/>
    <col min="8" max="8" width="0.2890625" style="0" customWidth="1"/>
    <col min="9" max="9" width="22.7109375" style="0" customWidth="1"/>
    <col min="10" max="10" width="19.57421875" style="0" customWidth="1"/>
    <col min="13" max="13" width="14.421875" style="0" bestFit="1" customWidth="1"/>
    <col min="14" max="14" width="14.28125" style="0" customWidth="1"/>
  </cols>
  <sheetData>
    <row r="2" ht="12.75">
      <c r="I2" s="32" t="s">
        <v>0</v>
      </c>
    </row>
    <row r="4" spans="2:15" ht="12.75">
      <c r="B4" s="618" t="s">
        <v>44</v>
      </c>
      <c r="C4" s="618"/>
      <c r="D4" s="618"/>
      <c r="E4" s="618"/>
      <c r="F4" s="618"/>
      <c r="G4" s="618"/>
      <c r="H4" s="618"/>
      <c r="I4" s="618"/>
      <c r="J4" s="1"/>
      <c r="K4" s="1"/>
      <c r="L4" s="1"/>
      <c r="M4" s="1"/>
      <c r="N4" s="1"/>
      <c r="O4" s="1"/>
    </row>
    <row r="5" spans="2:15" ht="12.75">
      <c r="B5" s="595" t="s">
        <v>75</v>
      </c>
      <c r="C5" s="595"/>
      <c r="D5" s="595"/>
      <c r="E5" s="595"/>
      <c r="F5" s="595"/>
      <c r="G5" s="595"/>
      <c r="H5" s="595"/>
      <c r="I5" s="595"/>
      <c r="J5" s="1"/>
      <c r="K5" s="1"/>
      <c r="L5" s="1"/>
      <c r="M5" s="1"/>
      <c r="N5" s="1"/>
      <c r="O5" s="1"/>
    </row>
    <row r="6" spans="2:15" ht="12.75">
      <c r="B6" s="595" t="s">
        <v>5</v>
      </c>
      <c r="C6" s="595"/>
      <c r="D6" s="595"/>
      <c r="E6" s="595"/>
      <c r="F6" s="595"/>
      <c r="G6" s="595"/>
      <c r="H6" s="595"/>
      <c r="I6" s="595"/>
      <c r="J6" s="1"/>
      <c r="K6" s="1"/>
      <c r="L6" s="1"/>
      <c r="M6" s="1"/>
      <c r="N6" s="1"/>
      <c r="O6" s="1"/>
    </row>
    <row r="7" spans="2:15" ht="12.75">
      <c r="B7" s="619" t="s">
        <v>340</v>
      </c>
      <c r="C7" s="619"/>
      <c r="D7" s="619"/>
      <c r="E7" s="619"/>
      <c r="F7" s="619"/>
      <c r="G7" s="619"/>
      <c r="H7" s="619"/>
      <c r="I7" s="619"/>
      <c r="J7" s="1"/>
      <c r="K7" s="1"/>
      <c r="L7" s="1"/>
      <c r="M7" s="1"/>
      <c r="N7" s="1"/>
      <c r="O7" s="1"/>
    </row>
    <row r="8" spans="6:15" ht="12.75">
      <c r="F8" s="1"/>
      <c r="G8" s="114"/>
      <c r="H8" s="1"/>
      <c r="I8" s="1"/>
      <c r="J8" s="1"/>
      <c r="K8" s="1"/>
      <c r="L8" s="1"/>
      <c r="M8" s="1"/>
      <c r="N8" s="1"/>
      <c r="O8" s="1"/>
    </row>
    <row r="9" spans="2:15" ht="12.75">
      <c r="B9" s="608" t="str">
        <f>+'ES 1.0'!E7</f>
        <v>For the Expense Month of Sample Only</v>
      </c>
      <c r="C9" s="608"/>
      <c r="D9" s="608"/>
      <c r="E9" s="608"/>
      <c r="F9" s="608"/>
      <c r="G9" s="608"/>
      <c r="H9" s="608"/>
      <c r="I9" s="608"/>
      <c r="J9" s="1"/>
      <c r="K9" s="1"/>
      <c r="L9" s="1"/>
      <c r="M9" s="1"/>
      <c r="N9" s="1"/>
      <c r="O9" s="1"/>
    </row>
    <row r="10" spans="6:15" ht="12.75">
      <c r="F10" s="1"/>
      <c r="G10" s="94"/>
      <c r="H10" s="1"/>
      <c r="I10" s="1"/>
      <c r="J10" s="1"/>
      <c r="K10" s="1"/>
      <c r="L10" s="1"/>
      <c r="M10" s="1"/>
      <c r="N10" s="1"/>
      <c r="O10" s="1"/>
    </row>
    <row r="11" spans="2:15" ht="12.75">
      <c r="B11" s="620" t="s">
        <v>6</v>
      </c>
      <c r="C11" s="620"/>
      <c r="D11" s="620"/>
      <c r="E11" s="620"/>
      <c r="F11" s="620"/>
      <c r="G11" s="620"/>
      <c r="H11" s="620"/>
      <c r="I11" s="620"/>
      <c r="J11" s="1"/>
      <c r="K11" s="1"/>
      <c r="L11" s="1"/>
      <c r="M11" s="1"/>
      <c r="N11" s="1"/>
      <c r="O11" s="1"/>
    </row>
    <row r="12" ht="13.5" thickBot="1"/>
    <row r="13" spans="2:9" ht="30" customHeight="1" thickBot="1">
      <c r="B13" s="71" t="s">
        <v>57</v>
      </c>
      <c r="C13" s="72"/>
      <c r="D13" s="270"/>
      <c r="E13" s="73" t="s">
        <v>50</v>
      </c>
      <c r="F13" s="74"/>
      <c r="G13" s="36" t="s">
        <v>55</v>
      </c>
      <c r="H13" s="44"/>
      <c r="I13" s="38" t="s">
        <v>56</v>
      </c>
    </row>
    <row r="14" spans="2:13" ht="18" customHeight="1">
      <c r="B14" s="4"/>
      <c r="C14" s="29"/>
      <c r="D14" s="271"/>
      <c r="E14" s="5"/>
      <c r="F14" s="21"/>
      <c r="G14" s="434"/>
      <c r="H14" s="17"/>
      <c r="I14" s="90"/>
      <c r="M14" s="76"/>
    </row>
    <row r="15" spans="2:9" ht="12.75">
      <c r="B15" s="9">
        <v>1</v>
      </c>
      <c r="C15" s="30"/>
      <c r="D15" s="124"/>
      <c r="E15" s="10" t="s">
        <v>51</v>
      </c>
      <c r="F15" s="22"/>
      <c r="G15" s="435">
        <v>43908900.19</v>
      </c>
      <c r="H15" s="274"/>
      <c r="I15" s="275">
        <f>ROUND(G15/$G$20,3)</f>
        <v>0.91</v>
      </c>
    </row>
    <row r="16" spans="2:9" ht="12.75">
      <c r="B16" s="9">
        <f>+B15+1</f>
        <v>2</v>
      </c>
      <c r="C16" s="30"/>
      <c r="D16" s="124"/>
      <c r="E16" s="10" t="s">
        <v>52</v>
      </c>
      <c r="F16" s="22"/>
      <c r="G16" s="435">
        <v>568574.54</v>
      </c>
      <c r="H16" s="25"/>
      <c r="I16" s="188">
        <f>ROUND(G16/$G$20,3)</f>
        <v>0.012</v>
      </c>
    </row>
    <row r="17" spans="2:9" ht="12.75">
      <c r="B17" s="9">
        <f>+B16+1</f>
        <v>3</v>
      </c>
      <c r="C17" s="30"/>
      <c r="D17" s="124"/>
      <c r="E17" s="10" t="s">
        <v>53</v>
      </c>
      <c r="F17" s="22"/>
      <c r="G17" s="276">
        <v>0</v>
      </c>
      <c r="H17" s="25"/>
      <c r="I17" s="188">
        <f>ROUND(G17/$G$20,3)</f>
        <v>0</v>
      </c>
    </row>
    <row r="18" spans="2:9" ht="12.75">
      <c r="B18" s="9">
        <f>+B17+1</f>
        <v>4</v>
      </c>
      <c r="C18" s="30"/>
      <c r="D18" s="124"/>
      <c r="E18" s="10" t="s">
        <v>54</v>
      </c>
      <c r="F18" s="22"/>
      <c r="G18" s="276">
        <v>3757249.05</v>
      </c>
      <c r="H18" s="25"/>
      <c r="I18" s="188">
        <f>ROUND(G18/$G$20,3)</f>
        <v>0.078</v>
      </c>
    </row>
    <row r="19" spans="2:9" ht="12.75" customHeight="1">
      <c r="B19" s="9"/>
      <c r="C19" s="30"/>
      <c r="D19" s="124"/>
      <c r="E19" s="10"/>
      <c r="F19" s="22"/>
      <c r="G19" s="360" t="s">
        <v>65</v>
      </c>
      <c r="H19" s="26"/>
      <c r="I19" s="186" t="s">
        <v>65</v>
      </c>
    </row>
    <row r="20" spans="2:9" ht="12.75">
      <c r="B20" s="9">
        <f>+B18+1</f>
        <v>5</v>
      </c>
      <c r="C20" s="30"/>
      <c r="D20" s="124"/>
      <c r="E20" s="12" t="s">
        <v>138</v>
      </c>
      <c r="F20" s="23"/>
      <c r="G20" s="276">
        <f>SUM(G15:G18)</f>
        <v>48234723.779999994</v>
      </c>
      <c r="H20" s="25"/>
      <c r="I20" s="188">
        <f>SUM(I15:I18)</f>
        <v>1</v>
      </c>
    </row>
    <row r="21" spans="2:9" ht="12.75">
      <c r="B21" s="9"/>
      <c r="C21" s="30"/>
      <c r="D21" s="124"/>
      <c r="E21" s="12"/>
      <c r="F21" s="23"/>
      <c r="G21" s="276"/>
      <c r="H21" s="25"/>
      <c r="I21" s="188"/>
    </row>
    <row r="22" spans="2:9" ht="12.75">
      <c r="B22" s="9">
        <f>+B20+1</f>
        <v>6</v>
      </c>
      <c r="C22" s="30"/>
      <c r="D22" s="124"/>
      <c r="E22" s="12" t="s">
        <v>136</v>
      </c>
      <c r="F22" s="23"/>
      <c r="G22" s="276">
        <v>180017.34</v>
      </c>
      <c r="H22" s="25"/>
      <c r="I22" s="188"/>
    </row>
    <row r="23" spans="2:9" ht="12.75">
      <c r="B23" s="13"/>
      <c r="C23" s="31"/>
      <c r="D23" s="123"/>
      <c r="E23" s="10"/>
      <c r="F23" s="22"/>
      <c r="G23" s="361"/>
      <c r="H23" s="19"/>
      <c r="I23" s="183"/>
    </row>
    <row r="24" spans="2:9" ht="13.5" thickBot="1">
      <c r="B24" s="9">
        <f>+B22+1</f>
        <v>7</v>
      </c>
      <c r="C24" s="18"/>
      <c r="D24" s="123"/>
      <c r="E24" s="10" t="s">
        <v>137</v>
      </c>
      <c r="F24" s="22"/>
      <c r="G24" s="276">
        <f>+G20+G22</f>
        <v>48414741.12</v>
      </c>
      <c r="H24" s="19"/>
      <c r="I24" s="183"/>
    </row>
    <row r="25" spans="2:9" ht="13.5" thickBot="1">
      <c r="B25" s="43"/>
      <c r="C25" s="18"/>
      <c r="D25" s="272"/>
      <c r="E25" s="15"/>
      <c r="F25" s="24"/>
      <c r="G25" s="195"/>
      <c r="H25" s="20"/>
      <c r="I25" s="184"/>
    </row>
    <row r="26" ht="15" customHeight="1">
      <c r="D26" s="273"/>
    </row>
    <row r="28" ht="12.75">
      <c r="E28" t="s">
        <v>76</v>
      </c>
    </row>
    <row r="29" ht="12.75">
      <c r="E29" t="s">
        <v>9</v>
      </c>
    </row>
    <row r="30" ht="12.75">
      <c r="E30" t="s">
        <v>77</v>
      </c>
    </row>
    <row r="31" ht="12.75">
      <c r="E31" t="s">
        <v>33</v>
      </c>
    </row>
    <row r="34" spans="5:9" ht="12.75">
      <c r="E34" s="75" t="s">
        <v>78</v>
      </c>
      <c r="F34" s="75"/>
      <c r="G34" s="75"/>
      <c r="H34" s="75"/>
      <c r="I34" s="75"/>
    </row>
    <row r="35" ht="13.5" thickBot="1"/>
    <row r="36" spans="2:10" ht="30" customHeight="1" thickBot="1">
      <c r="B36" s="621" t="s">
        <v>57</v>
      </c>
      <c r="C36" s="622"/>
      <c r="D36" s="36"/>
      <c r="E36" s="36" t="s">
        <v>50</v>
      </c>
      <c r="F36" s="77"/>
      <c r="G36" s="77"/>
      <c r="H36" s="440" t="s">
        <v>256</v>
      </c>
      <c r="I36" s="441" t="s">
        <v>287</v>
      </c>
      <c r="J36" s="214"/>
    </row>
    <row r="37" spans="2:10" ht="12.75">
      <c r="B37" s="127">
        <v>1</v>
      </c>
      <c r="C37" s="623"/>
      <c r="D37" s="68"/>
      <c r="E37" s="10" t="s">
        <v>37</v>
      </c>
      <c r="F37" s="10"/>
      <c r="G37" s="10"/>
      <c r="H37" s="19"/>
      <c r="I37" s="251">
        <v>-1211556</v>
      </c>
      <c r="J37" s="10"/>
    </row>
    <row r="38" spans="2:10" ht="12.75">
      <c r="B38" s="127"/>
      <c r="C38" s="624"/>
      <c r="D38" s="28"/>
      <c r="E38" s="10"/>
      <c r="F38" s="10"/>
      <c r="G38" s="10"/>
      <c r="H38" s="19"/>
      <c r="I38" s="183"/>
      <c r="J38" s="10"/>
    </row>
    <row r="39" spans="2:14" ht="12.75">
      <c r="B39" s="127">
        <v>2</v>
      </c>
      <c r="C39" s="624"/>
      <c r="D39" s="28"/>
      <c r="E39" s="214" t="s">
        <v>320</v>
      </c>
      <c r="F39" s="10"/>
      <c r="G39" s="10"/>
      <c r="H39" s="19"/>
      <c r="I39" s="187">
        <v>-888888</v>
      </c>
      <c r="J39" s="524"/>
      <c r="M39" s="464"/>
      <c r="N39" s="166"/>
    </row>
    <row r="40" spans="2:13" ht="12.75">
      <c r="B40" s="127"/>
      <c r="C40" s="624"/>
      <c r="D40" s="28"/>
      <c r="E40" s="10"/>
      <c r="F40" s="10"/>
      <c r="G40" s="10"/>
      <c r="H40" s="19"/>
      <c r="I40" s="187"/>
      <c r="J40" s="10"/>
      <c r="M40" s="264"/>
    </row>
    <row r="41" spans="2:10" ht="12.75">
      <c r="B41" s="127">
        <v>3</v>
      </c>
      <c r="C41" s="624"/>
      <c r="D41" s="28"/>
      <c r="E41" s="214" t="s">
        <v>334</v>
      </c>
      <c r="F41" s="10"/>
      <c r="G41" s="10"/>
      <c r="H41" s="19"/>
      <c r="I41" s="185">
        <f>I37-I39</f>
        <v>-322668</v>
      </c>
      <c r="J41" s="524"/>
    </row>
    <row r="42" spans="2:10" ht="13.5" thickBot="1">
      <c r="B42" s="189"/>
      <c r="C42" s="625"/>
      <c r="D42" s="8"/>
      <c r="E42" s="15"/>
      <c r="F42" s="15"/>
      <c r="G42" s="15"/>
      <c r="H42" s="20"/>
      <c r="I42" s="184"/>
      <c r="J42" s="10"/>
    </row>
    <row r="44" ht="12.75">
      <c r="E44" s="75" t="s">
        <v>333</v>
      </c>
    </row>
    <row r="46" ht="12.75">
      <c r="E46" s="100" t="s">
        <v>27</v>
      </c>
    </row>
    <row r="47" ht="12.75">
      <c r="E47" s="75" t="s">
        <v>27</v>
      </c>
    </row>
    <row r="58" ht="12.75">
      <c r="Q58" t="s">
        <v>27</v>
      </c>
    </row>
  </sheetData>
  <sheetProtection/>
  <mergeCells count="6">
    <mergeCell ref="B4:I4"/>
    <mergeCell ref="B5:I5"/>
    <mergeCell ref="B6:I6"/>
    <mergeCell ref="B7:I7"/>
    <mergeCell ref="B9:I9"/>
    <mergeCell ref="B11:I11"/>
  </mergeCells>
  <printOptions horizontalCentered="1"/>
  <pageMargins left="0" right="0" top="0.5" bottom="0.5" header="0.5" footer="0"/>
  <pageSetup horizontalDpi="300" verticalDpi="300" orientation="portrait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9.7109375" style="279" customWidth="1"/>
    <col min="2" max="2" width="19.421875" style="279" customWidth="1"/>
    <col min="3" max="3" width="16.7109375" style="278" customWidth="1"/>
    <col min="4" max="4" width="15.7109375" style="278" customWidth="1"/>
    <col min="5" max="5" width="11.7109375" style="278" customWidth="1"/>
    <col min="6" max="16384" width="8.8515625" style="278" customWidth="1"/>
  </cols>
  <sheetData>
    <row r="1" spans="1:8" s="281" customFormat="1" ht="12.75">
      <c r="A1" s="117"/>
      <c r="B1" s="609" t="s">
        <v>39</v>
      </c>
      <c r="C1" s="609"/>
      <c r="D1" s="609"/>
      <c r="E1" s="281" t="s">
        <v>268</v>
      </c>
      <c r="F1" s="286"/>
      <c r="G1" s="286"/>
      <c r="H1" s="286"/>
    </row>
    <row r="2" spans="1:8" s="281" customFormat="1" ht="12.75">
      <c r="A2" s="283" t="s">
        <v>27</v>
      </c>
      <c r="B2" s="609" t="s">
        <v>163</v>
      </c>
      <c r="C2" s="609"/>
      <c r="D2" s="609"/>
      <c r="E2" s="278"/>
      <c r="F2" s="286"/>
      <c r="G2" s="286"/>
      <c r="H2" s="286"/>
    </row>
    <row r="3" spans="1:8" s="281" customFormat="1" ht="12.75">
      <c r="A3" s="284"/>
      <c r="B3" s="610" t="s">
        <v>164</v>
      </c>
      <c r="C3" s="610"/>
      <c r="D3" s="610"/>
      <c r="E3" s="278"/>
      <c r="F3" s="286"/>
      <c r="G3" s="286"/>
      <c r="H3" s="286"/>
    </row>
    <row r="4" spans="1:8" s="281" customFormat="1" ht="12.75" customHeight="1">
      <c r="A4" s="284"/>
      <c r="B4" s="610" t="s">
        <v>165</v>
      </c>
      <c r="C4" s="610"/>
      <c r="D4" s="610"/>
      <c r="E4" s="278"/>
      <c r="F4" s="286"/>
      <c r="G4" s="286"/>
      <c r="H4" s="286"/>
    </row>
    <row r="5" spans="1:8" s="281" customFormat="1" ht="12.75" customHeight="1">
      <c r="A5" s="284"/>
      <c r="B5" s="287"/>
      <c r="C5" s="287"/>
      <c r="D5" s="287"/>
      <c r="E5" s="278"/>
      <c r="F5" s="286"/>
      <c r="G5" s="286"/>
      <c r="H5" s="286"/>
    </row>
    <row r="6" spans="1:8" s="281" customFormat="1" ht="12.75" customHeight="1" thickBot="1">
      <c r="A6" s="284"/>
      <c r="B6" s="287"/>
      <c r="C6" s="287"/>
      <c r="D6" s="287"/>
      <c r="E6" s="286"/>
      <c r="F6" s="286"/>
      <c r="G6" s="286"/>
      <c r="H6" s="286"/>
    </row>
    <row r="7" spans="1:8" s="281" customFormat="1" ht="12.75" customHeight="1">
      <c r="A7" s="310"/>
      <c r="B7" s="308"/>
      <c r="C7" s="308"/>
      <c r="D7" s="308"/>
      <c r="E7" s="611" t="s">
        <v>172</v>
      </c>
      <c r="F7" s="286"/>
      <c r="G7" s="286"/>
      <c r="H7" s="286"/>
    </row>
    <row r="8" spans="1:8" s="285" customFormat="1" ht="12.75" customHeight="1">
      <c r="A8" s="265"/>
      <c r="B8" s="297"/>
      <c r="C8" s="297"/>
      <c r="D8" s="297"/>
      <c r="E8" s="612"/>
      <c r="F8" s="289"/>
      <c r="G8" s="289"/>
      <c r="H8" s="289"/>
    </row>
    <row r="9" spans="1:8" s="285" customFormat="1" ht="22.5" customHeight="1">
      <c r="A9" s="265" t="s">
        <v>27</v>
      </c>
      <c r="B9" s="297"/>
      <c r="C9" s="297"/>
      <c r="D9" s="301"/>
      <c r="E9" s="612"/>
      <c r="F9" s="289"/>
      <c r="G9" s="289"/>
      <c r="H9" s="289"/>
    </row>
    <row r="10" spans="1:8" s="285" customFormat="1" ht="12" customHeight="1">
      <c r="A10" s="265"/>
      <c r="B10" s="297"/>
      <c r="C10" s="297"/>
      <c r="D10" s="613" t="s">
        <v>173</v>
      </c>
      <c r="E10" s="612"/>
      <c r="F10" s="289"/>
      <c r="G10" s="289"/>
      <c r="H10" s="289"/>
    </row>
    <row r="11" spans="1:8" s="285" customFormat="1" ht="12.75">
      <c r="A11" s="311" t="s">
        <v>57</v>
      </c>
      <c r="B11" s="309" t="s">
        <v>166</v>
      </c>
      <c r="C11" s="309" t="s">
        <v>126</v>
      </c>
      <c r="D11" s="613"/>
      <c r="E11" s="612"/>
      <c r="F11" s="289"/>
      <c r="G11" s="289"/>
      <c r="H11" s="289"/>
    </row>
    <row r="12" spans="1:8" s="280" customFormat="1" ht="12.75">
      <c r="A12" s="265"/>
      <c r="B12" s="293">
        <v>-1</v>
      </c>
      <c r="C12" s="293">
        <v>-2</v>
      </c>
      <c r="D12" s="300">
        <v>-3</v>
      </c>
      <c r="E12" s="293">
        <v>-4</v>
      </c>
      <c r="F12" s="290"/>
      <c r="G12" s="290"/>
      <c r="H12" s="290"/>
    </row>
    <row r="13" spans="1:8" ht="9.75" customHeight="1">
      <c r="A13" s="265" t="s">
        <v>27</v>
      </c>
      <c r="B13" s="294"/>
      <c r="C13" s="297"/>
      <c r="D13" s="301"/>
      <c r="E13" s="301"/>
      <c r="F13" s="289"/>
      <c r="G13" s="289"/>
      <c r="H13" s="289"/>
    </row>
    <row r="14" spans="1:8" ht="12.75">
      <c r="A14" s="265">
        <v>1</v>
      </c>
      <c r="B14" s="294" t="s">
        <v>167</v>
      </c>
      <c r="C14" s="298">
        <v>241979203.76</v>
      </c>
      <c r="D14" s="302">
        <v>0.29094836910323085</v>
      </c>
      <c r="E14" s="304">
        <f>ROUND(C14/$C$18,4)</f>
        <v>0.411</v>
      </c>
      <c r="F14" s="289"/>
      <c r="G14" s="289"/>
      <c r="H14" s="289"/>
    </row>
    <row r="15" spans="1:8" ht="12.75">
      <c r="A15" s="265"/>
      <c r="B15" s="294" t="s">
        <v>27</v>
      </c>
      <c r="C15" s="298" t="s">
        <v>27</v>
      </c>
      <c r="D15" s="302" t="s">
        <v>27</v>
      </c>
      <c r="E15" s="304"/>
      <c r="F15" s="289"/>
      <c r="G15" s="289"/>
      <c r="H15" s="289"/>
    </row>
    <row r="16" spans="1:8" ht="12.75">
      <c r="A16" s="265">
        <v>2</v>
      </c>
      <c r="B16" s="294" t="s">
        <v>162</v>
      </c>
      <c r="C16" s="298">
        <v>346765175.16</v>
      </c>
      <c r="D16" s="302">
        <v>0.41693980559859906</v>
      </c>
      <c r="E16" s="304">
        <f>ROUND(C16/$C$18,4)</f>
        <v>0.589</v>
      </c>
      <c r="F16" s="289"/>
      <c r="G16" s="289"/>
      <c r="H16" s="289"/>
    </row>
    <row r="17" spans="1:8" ht="12.75">
      <c r="A17" s="265"/>
      <c r="B17" s="294"/>
      <c r="C17" s="298" t="s">
        <v>27</v>
      </c>
      <c r="D17" s="302" t="s">
        <v>27</v>
      </c>
      <c r="E17" s="305"/>
      <c r="F17" s="289"/>
      <c r="G17" s="289"/>
      <c r="H17" s="289"/>
    </row>
    <row r="18" spans="1:8" ht="12.75">
      <c r="A18" s="265">
        <v>3</v>
      </c>
      <c r="B18" s="294" t="s">
        <v>168</v>
      </c>
      <c r="C18" s="298">
        <v>588744378.92</v>
      </c>
      <c r="D18" s="302">
        <v>0.7078881747018297</v>
      </c>
      <c r="E18" s="306">
        <v>1</v>
      </c>
      <c r="F18" s="289"/>
      <c r="G18" s="289"/>
      <c r="H18" s="289"/>
    </row>
    <row r="19" spans="1:8" ht="12.75">
      <c r="A19" s="265"/>
      <c r="B19" s="294"/>
      <c r="C19" s="298" t="s">
        <v>27</v>
      </c>
      <c r="D19" s="302" t="s">
        <v>27</v>
      </c>
      <c r="E19" s="305"/>
      <c r="F19" s="289"/>
      <c r="G19" s="289"/>
      <c r="H19" s="289"/>
    </row>
    <row r="20" spans="1:8" ht="26.25">
      <c r="A20" s="265">
        <v>4</v>
      </c>
      <c r="B20" s="295" t="s">
        <v>52</v>
      </c>
      <c r="C20" s="298">
        <v>7016659.590000002</v>
      </c>
      <c r="D20" s="302">
        <v>0.00843661617420575</v>
      </c>
      <c r="E20" s="305"/>
      <c r="F20" s="289"/>
      <c r="G20" s="289"/>
      <c r="H20" s="289"/>
    </row>
    <row r="21" spans="1:8" ht="12.75">
      <c r="A21" s="265"/>
      <c r="B21" s="294"/>
      <c r="C21" s="298" t="s">
        <v>27</v>
      </c>
      <c r="D21" s="302" t="s">
        <v>27</v>
      </c>
      <c r="E21" s="301"/>
      <c r="F21" s="289"/>
      <c r="G21" s="289"/>
      <c r="H21" s="289"/>
    </row>
    <row r="22" spans="1:8" ht="26.25">
      <c r="A22" s="265">
        <v>5</v>
      </c>
      <c r="B22" s="295" t="s">
        <v>53</v>
      </c>
      <c r="C22" s="298">
        <v>5479519.99</v>
      </c>
      <c r="D22" s="302">
        <v>0.006588406688618867</v>
      </c>
      <c r="E22" s="301"/>
      <c r="F22" s="289"/>
      <c r="G22" s="289"/>
      <c r="H22" s="289"/>
    </row>
    <row r="23" spans="1:8" ht="12.75">
      <c r="A23" s="265"/>
      <c r="B23" s="294"/>
      <c r="C23" s="298" t="s">
        <v>27</v>
      </c>
      <c r="D23" s="302" t="s">
        <v>27</v>
      </c>
      <c r="E23" s="301"/>
      <c r="F23" s="289"/>
      <c r="G23" s="291"/>
      <c r="H23" s="289"/>
    </row>
    <row r="24" spans="1:8" ht="26.25">
      <c r="A24" s="265">
        <v>6</v>
      </c>
      <c r="B24" s="295" t="s">
        <v>169</v>
      </c>
      <c r="C24" s="298">
        <v>224770862.32100004</v>
      </c>
      <c r="D24" s="302">
        <v>0.2702575874209571</v>
      </c>
      <c r="E24" s="301"/>
      <c r="F24" s="289"/>
      <c r="G24" s="289"/>
      <c r="H24" s="289"/>
    </row>
    <row r="25" spans="1:8" ht="12.75">
      <c r="A25" s="265"/>
      <c r="B25" s="294"/>
      <c r="C25" s="298" t="s">
        <v>27</v>
      </c>
      <c r="D25" s="302" t="s">
        <v>27</v>
      </c>
      <c r="E25" s="301"/>
      <c r="F25" s="289"/>
      <c r="G25" s="289"/>
      <c r="H25" s="289"/>
    </row>
    <row r="26" spans="1:8" ht="12.75">
      <c r="A26" s="265">
        <v>7</v>
      </c>
      <c r="B26" s="294" t="s">
        <v>170</v>
      </c>
      <c r="C26" s="298">
        <v>5679798.16</v>
      </c>
      <c r="D26" s="302">
        <v>0.006829215014388356</v>
      </c>
      <c r="E26" s="301"/>
      <c r="F26" s="289"/>
      <c r="G26" s="289"/>
      <c r="H26" s="289"/>
    </row>
    <row r="27" spans="1:8" ht="12.75">
      <c r="A27" s="265"/>
      <c r="B27" s="294"/>
      <c r="C27" s="298" t="s">
        <v>27</v>
      </c>
      <c r="D27" s="302" t="s">
        <v>27</v>
      </c>
      <c r="E27" s="301"/>
      <c r="F27" s="289"/>
      <c r="G27" s="289"/>
      <c r="H27" s="289"/>
    </row>
    <row r="28" spans="1:8" ht="13.5" thickBot="1">
      <c r="A28" s="292">
        <v>8</v>
      </c>
      <c r="B28" s="296" t="s">
        <v>171</v>
      </c>
      <c r="C28" s="299">
        <v>831691218.9810001</v>
      </c>
      <c r="D28" s="303">
        <v>1</v>
      </c>
      <c r="E28" s="307"/>
      <c r="F28" s="289"/>
      <c r="G28" s="289"/>
      <c r="H28" s="289"/>
    </row>
    <row r="29" spans="1:8" ht="12.75">
      <c r="A29" s="282"/>
      <c r="B29" s="288"/>
      <c r="C29" s="288"/>
      <c r="D29" s="289"/>
      <c r="E29" s="289"/>
      <c r="F29" s="289"/>
      <c r="G29" s="289"/>
      <c r="H29" s="289"/>
    </row>
    <row r="30" spans="1:8" ht="12.75">
      <c r="A30" s="282"/>
      <c r="B30" s="288"/>
      <c r="C30" s="288"/>
      <c r="D30" s="289"/>
      <c r="E30" s="289"/>
      <c r="F30" s="289"/>
      <c r="G30" s="289"/>
      <c r="H30" s="289"/>
    </row>
    <row r="31" spans="1:8" ht="12.75">
      <c r="A31" s="282"/>
      <c r="B31" s="288"/>
      <c r="C31" s="288"/>
      <c r="D31" s="289"/>
      <c r="E31" s="289"/>
      <c r="F31" s="289"/>
      <c r="G31" s="289"/>
      <c r="H31" s="289"/>
    </row>
    <row r="32" spans="1:8" ht="12.75">
      <c r="A32" s="282"/>
      <c r="B32" s="288"/>
      <c r="C32" s="288"/>
      <c r="D32" s="289"/>
      <c r="E32" s="289"/>
      <c r="F32" s="289"/>
      <c r="G32" s="289"/>
      <c r="H32" s="289"/>
    </row>
    <row r="33" spans="1:8" ht="12.75">
      <c r="A33" s="282"/>
      <c r="B33" s="288"/>
      <c r="C33" s="288"/>
      <c r="D33" s="289"/>
      <c r="E33" s="289"/>
      <c r="F33" s="289"/>
      <c r="G33" s="289"/>
      <c r="H33" s="289"/>
    </row>
    <row r="34" spans="1:3" ht="12.75">
      <c r="A34" s="9"/>
      <c r="C34" s="279"/>
    </row>
    <row r="35" spans="1:3" ht="12.75">
      <c r="A35" s="9"/>
      <c r="C35" s="279"/>
    </row>
    <row r="36" spans="1:3" ht="12.75">
      <c r="A36" s="282" t="s">
        <v>27</v>
      </c>
      <c r="C36" s="279"/>
    </row>
    <row r="37" spans="1:3" ht="12.75">
      <c r="A37" s="9"/>
      <c r="C37" s="279"/>
    </row>
    <row r="38" spans="1:3" ht="12.75">
      <c r="A38" s="282" t="s">
        <v>27</v>
      </c>
      <c r="C38" s="279"/>
    </row>
    <row r="39" spans="1:3" ht="12.75">
      <c r="A39" s="9"/>
      <c r="C39" s="279"/>
    </row>
    <row r="40" spans="1:3" ht="12.75">
      <c r="A40" s="27"/>
      <c r="C40" s="279"/>
    </row>
    <row r="41" spans="1:3" ht="12.75">
      <c r="A41" s="27"/>
      <c r="C41" s="279"/>
    </row>
    <row r="42" ht="12">
      <c r="A42" s="379"/>
    </row>
    <row r="43" ht="12">
      <c r="A43" s="379"/>
    </row>
    <row r="44" ht="12">
      <c r="A44" s="379"/>
    </row>
    <row r="45" ht="12">
      <c r="A45" s="379"/>
    </row>
  </sheetData>
  <sheetProtection/>
  <mergeCells count="6">
    <mergeCell ref="B1:D1"/>
    <mergeCell ref="B2:D2"/>
    <mergeCell ref="B3:D3"/>
    <mergeCell ref="B4:D4"/>
    <mergeCell ref="E7:E11"/>
    <mergeCell ref="D10:D1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4.8515625" style="342" customWidth="1"/>
    <col min="2" max="2" width="50.57421875" style="314" customWidth="1"/>
    <col min="3" max="3" width="3.421875" style="314" customWidth="1"/>
    <col min="4" max="4" width="16.140625" style="314" bestFit="1" customWidth="1"/>
    <col min="5" max="5" width="23.00390625" style="314" customWidth="1"/>
    <col min="6" max="6" width="16.57421875" style="314" bestFit="1" customWidth="1"/>
    <col min="7" max="16384" width="8.8515625" style="314" customWidth="1"/>
  </cols>
  <sheetData>
    <row r="1" ht="12.75">
      <c r="D1" s="314" t="s">
        <v>211</v>
      </c>
    </row>
    <row r="2" ht="12.75">
      <c r="B2" s="317" t="s">
        <v>39</v>
      </c>
    </row>
    <row r="3" ht="12.75">
      <c r="B3" s="317" t="s">
        <v>187</v>
      </c>
    </row>
    <row r="4" ht="12.75">
      <c r="B4" s="317" t="s">
        <v>312</v>
      </c>
    </row>
    <row r="5" ht="12.75">
      <c r="B5" s="314" t="str">
        <f>'ES 1.0'!E7</f>
        <v>For the Expense Month of Sample Only</v>
      </c>
    </row>
    <row r="6" ht="12.75">
      <c r="A6" s="614" t="s">
        <v>189</v>
      </c>
    </row>
    <row r="7" spans="1:2" ht="25.5" customHeight="1">
      <c r="A7" s="614"/>
      <c r="B7" s="343" t="s">
        <v>190</v>
      </c>
    </row>
    <row r="9" spans="1:4" ht="12.75">
      <c r="A9" s="344">
        <v>1</v>
      </c>
      <c r="B9" s="345" t="s">
        <v>191</v>
      </c>
      <c r="D9" s="318">
        <v>5555555</v>
      </c>
    </row>
    <row r="10" spans="1:4" ht="12.75">
      <c r="A10" s="344">
        <v>2</v>
      </c>
      <c r="B10" s="345" t="s">
        <v>192</v>
      </c>
      <c r="C10" s="336" t="s">
        <v>193</v>
      </c>
      <c r="D10" s="318">
        <v>12341234</v>
      </c>
    </row>
    <row r="11" spans="1:6" ht="12.75">
      <c r="A11" s="344">
        <v>3</v>
      </c>
      <c r="B11" s="346" t="s">
        <v>194</v>
      </c>
      <c r="C11" s="319" t="s">
        <v>27</v>
      </c>
      <c r="D11" s="347">
        <f>SUM(D9+D10)</f>
        <v>17896789</v>
      </c>
      <c r="F11" s="320"/>
    </row>
    <row r="12" spans="1:6" ht="12.75">
      <c r="A12" s="344">
        <v>4</v>
      </c>
      <c r="B12" s="348" t="s">
        <v>308</v>
      </c>
      <c r="C12" s="319" t="s">
        <v>196</v>
      </c>
      <c r="D12" s="349">
        <v>444444</v>
      </c>
      <c r="F12" s="320"/>
    </row>
    <row r="13" spans="1:6" ht="12.75">
      <c r="A13" s="344">
        <v>5</v>
      </c>
      <c r="B13" s="348" t="s">
        <v>309</v>
      </c>
      <c r="C13" s="319"/>
      <c r="D13" s="349">
        <v>22222</v>
      </c>
      <c r="F13" s="320"/>
    </row>
    <row r="14" spans="1:6" ht="13.5" thickBot="1">
      <c r="A14" s="344">
        <v>6</v>
      </c>
      <c r="B14" s="350" t="s">
        <v>197</v>
      </c>
      <c r="D14" s="351">
        <f>D11-D12-D13</f>
        <v>17430123</v>
      </c>
      <c r="F14" s="320"/>
    </row>
    <row r="15" ht="13.5" thickTop="1">
      <c r="A15" s="344" t="s">
        <v>27</v>
      </c>
    </row>
    <row r="18" ht="12.75">
      <c r="B18" s="343" t="s">
        <v>198</v>
      </c>
    </row>
    <row r="20" spans="1:4" ht="12.75">
      <c r="A20" s="342">
        <v>7</v>
      </c>
      <c r="B20" s="319" t="s">
        <v>168</v>
      </c>
      <c r="D20" s="352">
        <f>'[1]Input'!E12</f>
        <v>43816830.37</v>
      </c>
    </row>
    <row r="21" spans="1:4" ht="12.75">
      <c r="A21" s="342">
        <v>8</v>
      </c>
      <c r="B21" s="348" t="s">
        <v>199</v>
      </c>
      <c r="C21" s="314" t="s">
        <v>196</v>
      </c>
      <c r="D21" s="318">
        <f>D11</f>
        <v>17896789</v>
      </c>
    </row>
    <row r="22" spans="1:6" ht="12.75">
      <c r="A22" s="344">
        <v>9</v>
      </c>
      <c r="B22" s="348" t="s">
        <v>310</v>
      </c>
      <c r="C22" s="319" t="s">
        <v>196</v>
      </c>
      <c r="D22" s="349">
        <v>777777</v>
      </c>
      <c r="F22" s="320"/>
    </row>
    <row r="23" spans="1:6" ht="12.75">
      <c r="A23" s="344">
        <v>10</v>
      </c>
      <c r="B23" s="348" t="s">
        <v>311</v>
      </c>
      <c r="C23" s="319"/>
      <c r="D23" s="349">
        <v>33333</v>
      </c>
      <c r="F23" s="320"/>
    </row>
    <row r="24" spans="1:4" ht="12.75">
      <c r="A24" s="342">
        <v>11</v>
      </c>
      <c r="B24" s="350" t="s">
        <v>200</v>
      </c>
      <c r="D24" s="353">
        <f>D20-D21-D22-D23</f>
        <v>25108931.369999997</v>
      </c>
    </row>
    <row r="25" ht="12.75">
      <c r="D25" s="321"/>
    </row>
    <row r="27" ht="12.75">
      <c r="B27" s="315" t="s">
        <v>201</v>
      </c>
    </row>
    <row r="28" spans="1:4" ht="12.75">
      <c r="A28" s="342">
        <v>12</v>
      </c>
      <c r="B28" s="319" t="s">
        <v>202</v>
      </c>
      <c r="D28" s="316">
        <f>'[1]Input'!E22</f>
        <v>570541462</v>
      </c>
    </row>
    <row r="29" spans="1:4" ht="12.75">
      <c r="A29" s="342">
        <v>13</v>
      </c>
      <c r="B29" s="319" t="s">
        <v>203</v>
      </c>
      <c r="C29" s="319" t="s">
        <v>196</v>
      </c>
      <c r="D29" s="354">
        <f>SUM('[1]Input'!E24:E25)</f>
        <v>197831011</v>
      </c>
    </row>
    <row r="30" spans="1:4" ht="12.75">
      <c r="A30" s="342">
        <v>14</v>
      </c>
      <c r="B30" s="350" t="s">
        <v>204</v>
      </c>
      <c r="C30" s="315"/>
      <c r="D30" s="355">
        <f>D28-D29</f>
        <v>372710451</v>
      </c>
    </row>
    <row r="32" spans="1:4" ht="12.75">
      <c r="A32" s="342">
        <v>15</v>
      </c>
      <c r="B32" s="319" t="s">
        <v>205</v>
      </c>
      <c r="D32" s="356">
        <v>0.0284</v>
      </c>
    </row>
    <row r="34" spans="1:4" ht="12.75">
      <c r="A34" s="342">
        <v>16</v>
      </c>
      <c r="B34" s="319" t="s">
        <v>206</v>
      </c>
      <c r="D34" s="357">
        <f>D30*D32</f>
        <v>10584976.808400001</v>
      </c>
    </row>
    <row r="35" spans="1:4" ht="12.75">
      <c r="A35" s="342">
        <v>17</v>
      </c>
      <c r="B35" s="319" t="s">
        <v>207</v>
      </c>
      <c r="C35" s="319" t="s">
        <v>193</v>
      </c>
      <c r="D35" s="357">
        <f>'[1]Fuel Rev'!L26</f>
        <v>-798223.7435000001</v>
      </c>
    </row>
    <row r="36" spans="1:4" ht="12.75">
      <c r="A36" s="342">
        <v>18</v>
      </c>
      <c r="B36" s="319" t="s">
        <v>208</v>
      </c>
      <c r="C36" s="319"/>
      <c r="D36" s="358">
        <f>SUM(D34+D35)</f>
        <v>9786753.064900002</v>
      </c>
    </row>
    <row r="38" spans="1:4" ht="12.75">
      <c r="A38" s="342">
        <v>19</v>
      </c>
      <c r="B38" s="319" t="s">
        <v>209</v>
      </c>
      <c r="D38" s="359">
        <f>D24-D36</f>
        <v>15322178.305099996</v>
      </c>
    </row>
    <row r="39" spans="1:4" ht="12.75">
      <c r="A39" s="342">
        <v>20</v>
      </c>
      <c r="B39" s="319" t="s">
        <v>195</v>
      </c>
      <c r="C39" s="319" t="s">
        <v>196</v>
      </c>
      <c r="D39" s="349">
        <f>'[1]ES Rev'!K28</f>
        <v>-549741.9868594825</v>
      </c>
    </row>
    <row r="40" spans="1:4" ht="13.5" thickBot="1">
      <c r="A40" s="342">
        <v>21</v>
      </c>
      <c r="B40" s="350" t="s">
        <v>210</v>
      </c>
      <c r="D40" s="351">
        <f>D38-D39</f>
        <v>15871920.291959478</v>
      </c>
    </row>
    <row r="41" ht="13.5" thickTop="1"/>
    <row r="43" ht="12.75">
      <c r="B43" s="319" t="s">
        <v>27</v>
      </c>
    </row>
  </sheetData>
  <sheetProtection/>
  <mergeCells count="1">
    <mergeCell ref="A6:A7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J25" sqref="J25"/>
    </sheetView>
  </sheetViews>
  <sheetFormatPr defaultColWidth="9.140625" defaultRowHeight="12.75"/>
  <cols>
    <col min="3" max="3" width="2.28125" style="0" customWidth="1"/>
    <col min="4" max="4" width="9.28125" style="0" customWidth="1"/>
    <col min="5" max="5" width="3.28125" style="0" customWidth="1"/>
    <col min="6" max="6" width="15.00390625" style="0" customWidth="1"/>
    <col min="7" max="7" width="3.57421875" style="0" customWidth="1"/>
    <col min="8" max="8" width="12.28125" style="0" customWidth="1"/>
  </cols>
  <sheetData>
    <row r="1" spans="1:8" ht="12.75">
      <c r="A1" s="586" t="s">
        <v>39</v>
      </c>
      <c r="B1" s="607"/>
      <c r="C1" s="607"/>
      <c r="D1" s="607"/>
      <c r="E1" s="607"/>
      <c r="F1" s="607"/>
      <c r="G1" s="607"/>
      <c r="H1" s="607"/>
    </row>
    <row r="2" spans="1:8" ht="12.75">
      <c r="A2" s="586" t="s">
        <v>187</v>
      </c>
      <c r="B2" s="607"/>
      <c r="C2" s="607"/>
      <c r="D2" s="607"/>
      <c r="E2" s="607"/>
      <c r="F2" s="607"/>
      <c r="G2" s="607"/>
      <c r="H2" s="607"/>
    </row>
    <row r="3" spans="1:8" ht="12.75">
      <c r="A3" s="586" t="s">
        <v>318</v>
      </c>
      <c r="B3" s="607"/>
      <c r="C3" s="607"/>
      <c r="D3" s="607"/>
      <c r="E3" s="607"/>
      <c r="F3" s="607"/>
      <c r="G3" s="607"/>
      <c r="H3" s="607"/>
    </row>
    <row r="4" spans="1:8" ht="12.75" customHeight="1">
      <c r="A4" s="615" t="str">
        <f>'ES 1.0'!E7</f>
        <v>For the Expense Month of Sample Only</v>
      </c>
      <c r="B4" s="615"/>
      <c r="C4" s="615"/>
      <c r="D4" s="615"/>
      <c r="E4" s="615"/>
      <c r="F4" s="615"/>
      <c r="G4" s="615"/>
      <c r="H4" s="615"/>
    </row>
    <row r="9" spans="4:8" s="107" customFormat="1" ht="12.75">
      <c r="D9" s="107" t="s">
        <v>143</v>
      </c>
      <c r="F9" s="107" t="s">
        <v>306</v>
      </c>
      <c r="H9" s="107" t="s">
        <v>307</v>
      </c>
    </row>
    <row r="10" spans="1:2" ht="12.75" hidden="1">
      <c r="A10" t="s">
        <v>290</v>
      </c>
      <c r="B10">
        <v>2014</v>
      </c>
    </row>
    <row r="11" spans="1:2" ht="12.75" hidden="1">
      <c r="A11" t="s">
        <v>291</v>
      </c>
      <c r="B11">
        <v>2014</v>
      </c>
    </row>
    <row r="12" spans="1:2" ht="12.75" hidden="1">
      <c r="A12" t="s">
        <v>292</v>
      </c>
      <c r="B12">
        <v>2014</v>
      </c>
    </row>
    <row r="13" spans="1:2" ht="12.75" hidden="1">
      <c r="A13" t="s">
        <v>293</v>
      </c>
      <c r="B13">
        <v>2014</v>
      </c>
    </row>
    <row r="14" ht="6.75" customHeight="1"/>
    <row r="15" spans="1:8" ht="12.75">
      <c r="A15" t="s">
        <v>294</v>
      </c>
      <c r="B15">
        <v>2014</v>
      </c>
      <c r="D15">
        <v>4561</v>
      </c>
      <c r="F15">
        <v>1215331</v>
      </c>
      <c r="H15">
        <v>123513</v>
      </c>
    </row>
    <row r="16" spans="1:8" ht="12.75">
      <c r="A16" t="s">
        <v>295</v>
      </c>
      <c r="B16">
        <v>2014</v>
      </c>
      <c r="D16">
        <v>6789</v>
      </c>
      <c r="F16">
        <v>21353</v>
      </c>
      <c r="H16">
        <v>123513</v>
      </c>
    </row>
    <row r="17" spans="1:8" ht="12.75">
      <c r="A17" t="s">
        <v>296</v>
      </c>
      <c r="B17">
        <v>2014</v>
      </c>
      <c r="D17">
        <v>8912</v>
      </c>
      <c r="F17">
        <v>2134853</v>
      </c>
      <c r="H17">
        <v>123513</v>
      </c>
    </row>
    <row r="18" spans="1:8" ht="12.75">
      <c r="A18" t="s">
        <v>297</v>
      </c>
      <c r="B18">
        <v>2014</v>
      </c>
      <c r="D18">
        <v>2345</v>
      </c>
      <c r="F18">
        <v>2134853</v>
      </c>
      <c r="H18">
        <v>123513</v>
      </c>
    </row>
    <row r="19" spans="1:8" ht="12.75">
      <c r="A19" t="s">
        <v>298</v>
      </c>
      <c r="B19">
        <v>2014</v>
      </c>
      <c r="D19">
        <v>4567</v>
      </c>
      <c r="F19">
        <v>2134853</v>
      </c>
      <c r="H19">
        <v>123513</v>
      </c>
    </row>
    <row r="20" spans="1:8" ht="12.75">
      <c r="A20" t="s">
        <v>299</v>
      </c>
      <c r="B20">
        <v>2014</v>
      </c>
      <c r="D20">
        <v>6789</v>
      </c>
      <c r="F20">
        <v>2134853</v>
      </c>
      <c r="H20">
        <v>123513</v>
      </c>
    </row>
    <row r="21" spans="1:8" ht="12.75">
      <c r="A21" t="s">
        <v>300</v>
      </c>
      <c r="B21">
        <v>2014</v>
      </c>
      <c r="D21">
        <v>8912</v>
      </c>
      <c r="F21">
        <v>2134853</v>
      </c>
      <c r="H21">
        <v>123513</v>
      </c>
    </row>
    <row r="22" spans="1:8" ht="12.75">
      <c r="A22" t="s">
        <v>301</v>
      </c>
      <c r="B22">
        <v>2014</v>
      </c>
      <c r="D22">
        <v>2345</v>
      </c>
      <c r="F22">
        <v>2134853</v>
      </c>
      <c r="H22">
        <v>123513</v>
      </c>
    </row>
    <row r="23" spans="1:8" ht="12.75">
      <c r="A23" t="s">
        <v>290</v>
      </c>
      <c r="B23">
        <v>2015</v>
      </c>
      <c r="D23">
        <v>4567</v>
      </c>
      <c r="F23">
        <v>2134853</v>
      </c>
      <c r="H23">
        <v>123513</v>
      </c>
    </row>
    <row r="24" spans="1:8" ht="12.75">
      <c r="A24" t="s">
        <v>291</v>
      </c>
      <c r="B24">
        <v>2015</v>
      </c>
      <c r="D24">
        <v>6789</v>
      </c>
      <c r="F24">
        <v>2134853</v>
      </c>
      <c r="H24">
        <v>123513</v>
      </c>
    </row>
    <row r="25" spans="1:8" ht="12.75">
      <c r="A25" t="s">
        <v>292</v>
      </c>
      <c r="B25">
        <v>2015</v>
      </c>
      <c r="D25">
        <v>6789</v>
      </c>
      <c r="F25">
        <v>2134853</v>
      </c>
      <c r="H25">
        <v>123513</v>
      </c>
    </row>
    <row r="26" spans="1:8" ht="12.75">
      <c r="A26" t="s">
        <v>293</v>
      </c>
      <c r="B26">
        <v>2015</v>
      </c>
      <c r="D26">
        <v>8912</v>
      </c>
      <c r="F26">
        <v>2134853</v>
      </c>
      <c r="H26">
        <v>123513</v>
      </c>
    </row>
    <row r="28" spans="1:9" ht="12.75">
      <c r="A28" s="75" t="s">
        <v>313</v>
      </c>
      <c r="D28" s="630">
        <f>ROUND(SUM(D15:D26)*0.125,0)</f>
        <v>9035</v>
      </c>
      <c r="E28" s="631"/>
      <c r="F28" s="630">
        <f>ROUND(SUM(F15:F26)*0.125,0)</f>
        <v>2823152</v>
      </c>
      <c r="G28" s="632" t="s">
        <v>27</v>
      </c>
      <c r="H28" s="630">
        <f>ROUND(SUM(H15:H26)*0.125,0)</f>
        <v>185270</v>
      </c>
      <c r="I28" s="550"/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ySplit="8" topLeftCell="A9" activePane="bottomLeft" state="frozen"/>
      <selection pane="topLeft" activeCell="F26" activeCellId="2" sqref="H15 J25 F26"/>
      <selection pane="bottomLeft" activeCell="A42" sqref="A42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3.57421875" style="2" bestFit="1" customWidth="1"/>
    <col min="4" max="4" width="0.5625" style="0" customWidth="1"/>
    <col min="5" max="5" width="57.8515625" style="0" customWidth="1"/>
    <col min="6" max="6" width="0.5625" style="0" customWidth="1"/>
    <col min="7" max="7" width="17.421875" style="0" bestFit="1" customWidth="1"/>
    <col min="8" max="8" width="0.71875" style="0" customWidth="1"/>
    <col min="9" max="9" width="17.57421875" style="0" customWidth="1"/>
    <col min="10" max="10" width="17.140625" style="0" customWidth="1"/>
    <col min="11" max="11" width="11.421875" style="0" bestFit="1" customWidth="1"/>
  </cols>
  <sheetData>
    <row r="1" spans="1:8" ht="12.75">
      <c r="A1" s="157"/>
      <c r="B1" s="157"/>
      <c r="C1" s="157"/>
      <c r="D1" s="157"/>
      <c r="E1" s="157"/>
      <c r="F1" s="157"/>
      <c r="G1" s="157"/>
      <c r="H1" s="157"/>
    </row>
    <row r="2" spans="1:8" ht="12.75">
      <c r="A2" t="s">
        <v>27</v>
      </c>
      <c r="E2" s="103"/>
      <c r="G2" s="2" t="s">
        <v>10</v>
      </c>
      <c r="H2" s="2"/>
    </row>
    <row r="3" ht="12.75">
      <c r="E3" s="167"/>
    </row>
    <row r="5" ht="12.75">
      <c r="E5" s="94" t="s">
        <v>44</v>
      </c>
    </row>
    <row r="6" spans="5:10" ht="12.75">
      <c r="E6" s="2" t="s">
        <v>118</v>
      </c>
      <c r="J6" t="s">
        <v>27</v>
      </c>
    </row>
    <row r="7" ht="12.75">
      <c r="E7" s="114" t="s">
        <v>303</v>
      </c>
    </row>
    <row r="8" ht="12.75">
      <c r="E8" s="114" t="s">
        <v>46</v>
      </c>
    </row>
    <row r="9" ht="13.5" thickBot="1"/>
    <row r="10" spans="2:8" ht="12.75">
      <c r="B10" s="83"/>
      <c r="C10" s="68"/>
      <c r="D10" s="5"/>
      <c r="E10" s="96" t="s">
        <v>119</v>
      </c>
      <c r="F10" s="5"/>
      <c r="G10" s="6"/>
      <c r="H10" s="10"/>
    </row>
    <row r="11" spans="2:8" ht="12.75">
      <c r="B11" s="86"/>
      <c r="C11" s="28"/>
      <c r="D11" s="10"/>
      <c r="E11" s="10"/>
      <c r="F11" s="10"/>
      <c r="G11" s="14"/>
      <c r="H11" s="10"/>
    </row>
    <row r="12" spans="2:8" ht="12.75">
      <c r="B12" s="86"/>
      <c r="C12" s="28"/>
      <c r="D12" s="10"/>
      <c r="E12" s="28" t="s">
        <v>120</v>
      </c>
      <c r="F12" s="10"/>
      <c r="G12" s="14"/>
      <c r="H12" s="10"/>
    </row>
    <row r="13" spans="2:10" ht="13.5" thickBot="1">
      <c r="B13" s="97"/>
      <c r="C13" s="8"/>
      <c r="D13" s="15"/>
      <c r="E13" s="10"/>
      <c r="F13" s="15"/>
      <c r="G13" s="14"/>
      <c r="H13" s="10"/>
      <c r="I13" s="75"/>
      <c r="J13" s="75"/>
    </row>
    <row r="14" spans="2:8" ht="15" customHeight="1">
      <c r="B14" s="4" t="s">
        <v>117</v>
      </c>
      <c r="C14" s="267">
        <v>1</v>
      </c>
      <c r="D14" s="95"/>
      <c r="E14" s="90" t="s">
        <v>11</v>
      </c>
      <c r="F14" s="17"/>
      <c r="G14" s="212">
        <f>'ES 3.00'!H41</f>
        <v>4091942.551877863</v>
      </c>
      <c r="H14" s="11"/>
    </row>
    <row r="15" spans="2:8" ht="12.75">
      <c r="B15" s="86"/>
      <c r="C15" s="268"/>
      <c r="D15" s="46"/>
      <c r="E15" s="183"/>
      <c r="F15" s="19"/>
      <c r="G15" s="185"/>
      <c r="H15" s="438"/>
    </row>
    <row r="16" spans="2:11" ht="12.75">
      <c r="B16" s="13" t="s">
        <v>117</v>
      </c>
      <c r="C16" s="268">
        <f>+C14+1</f>
        <v>2</v>
      </c>
      <c r="D16" s="46"/>
      <c r="E16" s="183" t="s">
        <v>81</v>
      </c>
      <c r="F16" s="19"/>
      <c r="G16" s="628">
        <f>'ES 1.10'!E16</f>
        <v>2795853.508748698</v>
      </c>
      <c r="H16" s="197"/>
      <c r="I16" s="106"/>
      <c r="K16" s="39"/>
    </row>
    <row r="17" spans="2:11" ht="12.75">
      <c r="B17" s="13"/>
      <c r="C17" s="268"/>
      <c r="D17" s="46"/>
      <c r="E17" s="183"/>
      <c r="F17" s="19"/>
      <c r="G17" s="628"/>
      <c r="H17" s="197"/>
      <c r="I17" s="106"/>
      <c r="K17" s="39"/>
    </row>
    <row r="18" spans="2:11" ht="12.75">
      <c r="B18" s="13" t="s">
        <v>117</v>
      </c>
      <c r="C18" s="268">
        <f>+C16+1</f>
        <v>3</v>
      </c>
      <c r="D18" s="46"/>
      <c r="E18" s="559" t="s">
        <v>336</v>
      </c>
      <c r="F18" s="19"/>
      <c r="G18" s="629">
        <f>'ES 3.13'!H41</f>
        <v>3278204.033553075</v>
      </c>
      <c r="H18" s="132"/>
      <c r="I18" s="106"/>
      <c r="K18" s="39"/>
    </row>
    <row r="19" spans="2:8" ht="12.75">
      <c r="B19" s="13"/>
      <c r="C19" s="268"/>
      <c r="D19" s="46"/>
      <c r="E19" s="183"/>
      <c r="F19" s="19"/>
      <c r="G19" s="185"/>
      <c r="H19" s="11"/>
    </row>
    <row r="20" spans="2:11" ht="12.75">
      <c r="B20" s="13" t="s">
        <v>117</v>
      </c>
      <c r="C20" s="268">
        <f>+C18+1</f>
        <v>4</v>
      </c>
      <c r="D20" s="46"/>
      <c r="E20" s="183" t="s">
        <v>253</v>
      </c>
      <c r="F20" s="19"/>
      <c r="G20" s="185">
        <f>G14-G16+G18</f>
        <v>4574293.07668224</v>
      </c>
      <c r="H20" s="11"/>
      <c r="K20" s="165"/>
    </row>
    <row r="21" spans="2:8" ht="12.75">
      <c r="B21" s="13"/>
      <c r="C21" s="268"/>
      <c r="D21" s="46"/>
      <c r="E21" s="183"/>
      <c r="F21" s="19"/>
      <c r="G21" s="213"/>
      <c r="H21" s="39"/>
    </row>
    <row r="22" spans="2:8" ht="26.25">
      <c r="B22" s="442" t="s">
        <v>117</v>
      </c>
      <c r="C22" s="443">
        <v>5</v>
      </c>
      <c r="D22" s="46"/>
      <c r="E22" s="436" t="s">
        <v>12</v>
      </c>
      <c r="F22" s="19"/>
      <c r="G22" s="188">
        <f>+'ES 3.30'!I15</f>
        <v>0.91</v>
      </c>
      <c r="H22" s="433"/>
    </row>
    <row r="23" spans="2:8" ht="12.75">
      <c r="B23" s="13"/>
      <c r="C23" s="268"/>
      <c r="D23" s="46"/>
      <c r="E23" s="183"/>
      <c r="F23" s="19"/>
      <c r="G23" s="213"/>
      <c r="H23" s="39"/>
    </row>
    <row r="24" spans="2:8" ht="12.75">
      <c r="B24" s="13" t="s">
        <v>117</v>
      </c>
      <c r="C24" s="268">
        <f>C20+2</f>
        <v>6</v>
      </c>
      <c r="D24" s="46"/>
      <c r="E24" s="183" t="s">
        <v>121</v>
      </c>
      <c r="F24" s="19"/>
      <c r="G24" s="196">
        <f>ROUND(G20*G22,0)</f>
        <v>4162607</v>
      </c>
      <c r="H24" s="115"/>
    </row>
    <row r="25" spans="2:8" ht="12.75">
      <c r="B25" s="13"/>
      <c r="C25" s="268"/>
      <c r="D25" s="46"/>
      <c r="E25" s="183"/>
      <c r="F25" s="19"/>
      <c r="G25" s="196"/>
      <c r="H25" s="115"/>
    </row>
    <row r="26" spans="2:8" ht="12.75">
      <c r="B26" s="277" t="s">
        <v>174</v>
      </c>
      <c r="C26" s="268">
        <v>7</v>
      </c>
      <c r="D26" s="46"/>
      <c r="E26" s="214" t="s">
        <v>254</v>
      </c>
      <c r="F26" s="19"/>
      <c r="G26" s="548">
        <f>'ES 3.30'!I41</f>
        <v>-322668</v>
      </c>
      <c r="H26" s="115"/>
    </row>
    <row r="27" spans="2:8" ht="12.75">
      <c r="B27" s="277"/>
      <c r="C27" s="268"/>
      <c r="D27" s="46"/>
      <c r="E27" s="214"/>
      <c r="F27" s="19"/>
      <c r="G27" s="196"/>
      <c r="H27" s="115"/>
    </row>
    <row r="28" spans="2:8" ht="12.75">
      <c r="B28" s="277" t="s">
        <v>174</v>
      </c>
      <c r="C28" s="268">
        <v>8</v>
      </c>
      <c r="D28" s="46"/>
      <c r="E28" s="214" t="s">
        <v>302</v>
      </c>
      <c r="F28" s="19"/>
      <c r="G28" s="196">
        <f>G24+G26</f>
        <v>3839939</v>
      </c>
      <c r="H28" s="115"/>
    </row>
    <row r="29" spans="2:8" ht="13.5" thickBot="1">
      <c r="B29" s="13"/>
      <c r="C29" s="268"/>
      <c r="D29" s="46"/>
      <c r="E29" s="183"/>
      <c r="F29" s="19"/>
      <c r="G29" s="196"/>
      <c r="H29" s="115"/>
    </row>
    <row r="30" spans="2:9" ht="13.5" thickBot="1">
      <c r="B30" s="13"/>
      <c r="C30" s="268"/>
      <c r="D30" s="46"/>
      <c r="E30" s="584" t="s">
        <v>252</v>
      </c>
      <c r="F30" s="446"/>
      <c r="G30" s="582" t="s">
        <v>167</v>
      </c>
      <c r="H30" s="444"/>
      <c r="I30" s="580" t="s">
        <v>259</v>
      </c>
    </row>
    <row r="31" spans="2:9" ht="13.5" thickBot="1">
      <c r="B31" s="13"/>
      <c r="C31" s="268"/>
      <c r="D31" s="89"/>
      <c r="E31" s="585"/>
      <c r="F31" s="447"/>
      <c r="G31" s="583"/>
      <c r="H31" s="445"/>
      <c r="I31" s="581"/>
    </row>
    <row r="32" spans="2:9" ht="12.75">
      <c r="B32" s="13"/>
      <c r="C32" s="268"/>
      <c r="D32" s="46"/>
      <c r="E32" s="10"/>
      <c r="F32" s="19"/>
      <c r="G32" s="437"/>
      <c r="H32" s="439"/>
      <c r="I32" s="183"/>
    </row>
    <row r="33" spans="2:10" ht="12.75">
      <c r="B33" s="13" t="s">
        <v>27</v>
      </c>
      <c r="C33" s="268" t="s">
        <v>27</v>
      </c>
      <c r="D33" s="46"/>
      <c r="E33" s="587" t="s">
        <v>317</v>
      </c>
      <c r="F33" s="19"/>
      <c r="G33" s="589">
        <f>'ES 3.31'!E14</f>
        <v>0.411</v>
      </c>
      <c r="H33" s="448"/>
      <c r="I33" s="590">
        <f>'ES 3.31'!E16</f>
        <v>0.589</v>
      </c>
      <c r="J33" s="75"/>
    </row>
    <row r="34" spans="2:9" ht="15" customHeight="1">
      <c r="B34" s="13" t="s">
        <v>325</v>
      </c>
      <c r="C34" s="268">
        <v>9</v>
      </c>
      <c r="D34" s="46"/>
      <c r="E34" s="588"/>
      <c r="F34" s="19"/>
      <c r="G34" s="589"/>
      <c r="H34" s="448"/>
      <c r="I34" s="591"/>
    </row>
    <row r="35" spans="2:9" ht="15" customHeight="1">
      <c r="B35" s="13"/>
      <c r="C35" s="268"/>
      <c r="D35" s="46"/>
      <c r="E35" s="266"/>
      <c r="F35" s="19"/>
      <c r="G35" s="449"/>
      <c r="H35" s="450"/>
      <c r="I35" s="451"/>
    </row>
    <row r="36" spans="2:9" ht="15" customHeight="1">
      <c r="B36" s="13" t="s">
        <v>117</v>
      </c>
      <c r="C36" s="268">
        <v>10</v>
      </c>
      <c r="D36" s="46"/>
      <c r="E36" s="312" t="s">
        <v>255</v>
      </c>
      <c r="F36" s="19"/>
      <c r="G36" s="452">
        <f>ROUND(G28*G33,0)</f>
        <v>1578215</v>
      </c>
      <c r="H36" s="450"/>
      <c r="I36" s="452">
        <f>ROUND(G$28*I33,0)</f>
        <v>2261724</v>
      </c>
    </row>
    <row r="37" spans="2:11" ht="12.75">
      <c r="B37" s="86"/>
      <c r="C37" s="190"/>
      <c r="D37" s="46"/>
      <c r="E37" s="266"/>
      <c r="F37" s="19"/>
      <c r="G37" s="453"/>
      <c r="H37" s="454"/>
      <c r="I37" s="455"/>
      <c r="J37" s="175"/>
      <c r="K37" s="75"/>
    </row>
    <row r="38" spans="2:9" ht="12.75">
      <c r="B38" s="13" t="s">
        <v>117</v>
      </c>
      <c r="C38" s="268">
        <v>11</v>
      </c>
      <c r="D38" s="46"/>
      <c r="E38" s="214" t="s">
        <v>257</v>
      </c>
      <c r="F38" s="19"/>
      <c r="G38" s="626">
        <f>'ES 3.32'!D14</f>
        <v>17430123</v>
      </c>
      <c r="H38" s="627"/>
      <c r="I38" s="626">
        <f>'ES 3.32'!D40</f>
        <v>15871920.291959478</v>
      </c>
    </row>
    <row r="39" spans="2:9" ht="12.75">
      <c r="B39" s="86"/>
      <c r="C39" s="190"/>
      <c r="D39" s="46"/>
      <c r="E39" s="10"/>
      <c r="F39" s="19"/>
      <c r="G39" s="457"/>
      <c r="H39" s="458"/>
      <c r="I39" s="456"/>
    </row>
    <row r="40" spans="2:9" ht="12.75">
      <c r="B40" s="249" t="s">
        <v>174</v>
      </c>
      <c r="C40" s="190">
        <v>12</v>
      </c>
      <c r="D40" s="46"/>
      <c r="E40" s="10" t="s">
        <v>260</v>
      </c>
      <c r="F40" s="19"/>
      <c r="G40" s="518">
        <f>ROUND(G36/G38,6)</f>
        <v>0.090545</v>
      </c>
      <c r="H40" s="519"/>
      <c r="I40" s="518">
        <f>ROUND(I36/I38,6)</f>
        <v>0.142498</v>
      </c>
    </row>
    <row r="41" spans="2:9" ht="12.75">
      <c r="B41" s="86"/>
      <c r="C41" s="190"/>
      <c r="D41" s="46"/>
      <c r="E41" s="313" t="s">
        <v>27</v>
      </c>
      <c r="F41" s="221"/>
      <c r="G41" s="460" t="s">
        <v>27</v>
      </c>
      <c r="H41" s="461"/>
      <c r="I41" s="456"/>
    </row>
    <row r="42" spans="2:9" ht="13.5" thickBot="1">
      <c r="B42" s="7"/>
      <c r="C42" s="269"/>
      <c r="D42" s="89"/>
      <c r="E42" s="15"/>
      <c r="F42" s="20"/>
      <c r="G42" s="462"/>
      <c r="H42" s="459"/>
      <c r="I42" s="463"/>
    </row>
    <row r="43" spans="2:9" ht="12.75">
      <c r="B43" s="2"/>
      <c r="C43" s="80"/>
      <c r="D43" s="61"/>
      <c r="I43" s="75"/>
    </row>
    <row r="44" spans="2:8" ht="12.75">
      <c r="B44" s="586"/>
      <c r="C44" s="586"/>
      <c r="D44" s="586"/>
      <c r="E44" s="586"/>
      <c r="F44" s="223"/>
      <c r="G44" s="224"/>
      <c r="H44" s="224"/>
    </row>
    <row r="45" spans="2:11" ht="12.75">
      <c r="B45" s="2"/>
      <c r="E45" s="120"/>
      <c r="F45" s="223"/>
      <c r="G45" s="224"/>
      <c r="H45" s="224"/>
      <c r="I45" s="10"/>
      <c r="J45" s="10"/>
      <c r="K45" s="10"/>
    </row>
    <row r="46" spans="2:11" ht="12.75">
      <c r="B46" s="2"/>
      <c r="E46" s="120"/>
      <c r="F46" s="223"/>
      <c r="G46" s="224"/>
      <c r="H46" s="224"/>
      <c r="I46" s="10"/>
      <c r="J46" s="10"/>
      <c r="K46" s="10"/>
    </row>
    <row r="47" spans="5:11" ht="12.75">
      <c r="E47" s="75" t="s">
        <v>265</v>
      </c>
      <c r="F47" s="222"/>
      <c r="I47" s="10"/>
      <c r="J47" s="10"/>
      <c r="K47" s="10"/>
    </row>
    <row r="48" spans="5:11" ht="12.75">
      <c r="E48" s="98" t="s">
        <v>123</v>
      </c>
      <c r="I48" s="10"/>
      <c r="J48" s="10"/>
      <c r="K48" s="10"/>
    </row>
    <row r="49" spans="9:11" ht="12.75">
      <c r="I49" s="10"/>
      <c r="J49" s="10"/>
      <c r="K49" s="10"/>
    </row>
    <row r="51" ht="3" customHeight="1"/>
    <row r="52" ht="12.75">
      <c r="E52" t="s">
        <v>122</v>
      </c>
    </row>
    <row r="53" ht="12.75">
      <c r="E53" s="98" t="s">
        <v>123</v>
      </c>
    </row>
    <row r="55" ht="12.75">
      <c r="E55" s="75" t="s">
        <v>266</v>
      </c>
    </row>
    <row r="56" ht="3" customHeight="1"/>
    <row r="57" ht="18.75" customHeight="1">
      <c r="E57" s="156" t="s">
        <v>160</v>
      </c>
    </row>
    <row r="58" ht="12.75">
      <c r="E58" s="98" t="s">
        <v>123</v>
      </c>
    </row>
    <row r="60" ht="12.75" customHeight="1"/>
    <row r="61" spans="3:5" ht="3" customHeight="1">
      <c r="C61" s="106" t="s">
        <v>67</v>
      </c>
      <c r="E61" t="s">
        <v>20</v>
      </c>
    </row>
  </sheetData>
  <sheetProtection/>
  <mergeCells count="7">
    <mergeCell ref="I30:I31"/>
    <mergeCell ref="G30:G31"/>
    <mergeCell ref="E30:E31"/>
    <mergeCell ref="B44:E44"/>
    <mergeCell ref="E33:E34"/>
    <mergeCell ref="G33:G34"/>
    <mergeCell ref="I33:I34"/>
  </mergeCells>
  <printOptions horizontalCentered="1"/>
  <pageMargins left="0" right="0" top="0.5" bottom="0" header="0" footer="0"/>
  <pageSetup horizontalDpi="600" verticalDpi="600" orientation="portrait" scale="89" r:id="rId1"/>
  <rowBreaks count="1" manualBreakCount="1"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8.57421875" style="0" bestFit="1" customWidth="1"/>
    <col min="4" max="4" width="0.5625" style="0" customWidth="1"/>
    <col min="5" max="5" width="15.00390625" style="0" bestFit="1" customWidth="1"/>
    <col min="6" max="6" width="0.5625" style="0" customWidth="1"/>
    <col min="7" max="7" width="3.7109375" style="0" customWidth="1"/>
    <col min="8" max="8" width="12.57421875" style="0" bestFit="1" customWidth="1"/>
    <col min="9" max="9" width="2.28125" style="0" customWidth="1"/>
  </cols>
  <sheetData>
    <row r="1" spans="5:7" ht="12.75">
      <c r="E1" s="2"/>
      <c r="G1" s="3"/>
    </row>
    <row r="2" spans="5:7" ht="12.75">
      <c r="E2" s="32" t="s">
        <v>83</v>
      </c>
      <c r="G2" s="3"/>
    </row>
    <row r="4" ht="12.75">
      <c r="C4" s="94" t="s">
        <v>44</v>
      </c>
    </row>
    <row r="5" ht="12.75">
      <c r="C5" s="1" t="s">
        <v>124</v>
      </c>
    </row>
    <row r="6" ht="12.75">
      <c r="C6" s="2" t="str">
        <f>+'ES 1.0'!E7</f>
        <v>For the Expense Month of Sample Only</v>
      </c>
    </row>
    <row r="8" spans="3:8" ht="12.75">
      <c r="C8" s="116" t="s">
        <v>82</v>
      </c>
      <c r="H8" s="174"/>
    </row>
    <row r="9" spans="3:8" ht="12.75">
      <c r="C9" s="116"/>
      <c r="H9" s="174"/>
    </row>
    <row r="10" spans="1:8" ht="13.5" thickBot="1">
      <c r="A10" s="62"/>
      <c r="B10" s="62"/>
      <c r="C10" s="62"/>
      <c r="D10" s="62"/>
      <c r="E10" s="62"/>
      <c r="F10" s="62"/>
      <c r="G10" s="62"/>
      <c r="H10" s="210"/>
    </row>
    <row r="11" spans="1:8" ht="39.75" thickBot="1">
      <c r="A11" s="62"/>
      <c r="B11" s="179"/>
      <c r="C11" s="181" t="s">
        <v>85</v>
      </c>
      <c r="D11" s="182"/>
      <c r="E11" s="430" t="s">
        <v>84</v>
      </c>
      <c r="F11" s="180"/>
      <c r="G11" s="62"/>
      <c r="H11" s="122"/>
    </row>
    <row r="12" spans="1:8" ht="12.75">
      <c r="A12" s="62"/>
      <c r="B12" s="177"/>
      <c r="C12" s="62"/>
      <c r="D12" s="177"/>
      <c r="E12" s="126"/>
      <c r="F12" s="178"/>
      <c r="G12" s="62"/>
      <c r="H12" s="10"/>
    </row>
    <row r="13" spans="1:8" ht="12.75">
      <c r="A13" s="62"/>
      <c r="B13" s="177"/>
      <c r="C13" s="193" t="s">
        <v>86</v>
      </c>
      <c r="D13" s="241"/>
      <c r="E13" s="185">
        <v>2646291.904514943</v>
      </c>
      <c r="F13" s="178"/>
      <c r="G13" s="62"/>
      <c r="H13" s="208"/>
    </row>
    <row r="14" spans="1:8" ht="12.75">
      <c r="A14" s="62"/>
      <c r="B14" s="177"/>
      <c r="C14" s="193" t="s">
        <v>87</v>
      </c>
      <c r="D14" s="241"/>
      <c r="E14" s="185">
        <v>2624659.728589871</v>
      </c>
      <c r="F14" s="178"/>
      <c r="G14" s="62"/>
      <c r="H14" s="197"/>
    </row>
    <row r="15" spans="1:8" s="75" customFormat="1" ht="12.75">
      <c r="A15" s="193"/>
      <c r="B15" s="241"/>
      <c r="C15" s="193" t="s">
        <v>88</v>
      </c>
      <c r="D15" s="241"/>
      <c r="E15" s="185">
        <v>2736993.97284202</v>
      </c>
      <c r="F15" s="242"/>
      <c r="G15" s="193"/>
      <c r="H15" s="197"/>
    </row>
    <row r="16" spans="1:8" ht="12.75">
      <c r="A16" s="62"/>
      <c r="B16" s="177"/>
      <c r="C16" s="551" t="s">
        <v>89</v>
      </c>
      <c r="D16" s="552"/>
      <c r="E16" s="553">
        <v>2795853.508748698</v>
      </c>
      <c r="F16" s="178"/>
      <c r="G16" s="62"/>
      <c r="H16" s="137"/>
    </row>
    <row r="17" spans="1:8" ht="12.75">
      <c r="A17" s="62"/>
      <c r="B17" s="177"/>
      <c r="C17" s="191" t="s">
        <v>90</v>
      </c>
      <c r="D17" s="241"/>
      <c r="E17" s="185">
        <v>2782208.6216708263</v>
      </c>
      <c r="F17" s="178"/>
      <c r="G17" s="62"/>
      <c r="H17" s="137"/>
    </row>
    <row r="18" spans="2:8" s="75" customFormat="1" ht="12.75">
      <c r="B18" s="249"/>
      <c r="C18" s="191" t="s">
        <v>91</v>
      </c>
      <c r="D18" s="249"/>
      <c r="E18" s="185">
        <v>2723097.625957535</v>
      </c>
      <c r="F18" s="250"/>
      <c r="H18" s="112"/>
    </row>
    <row r="19" spans="2:8" s="75" customFormat="1" ht="12.75">
      <c r="B19" s="249"/>
      <c r="C19" s="193" t="s">
        <v>92</v>
      </c>
      <c r="D19" s="249"/>
      <c r="E19" s="185">
        <v>3416840.3773425007</v>
      </c>
      <c r="F19" s="250"/>
      <c r="H19" s="192"/>
    </row>
    <row r="20" spans="2:8" ht="12.75">
      <c r="B20" s="86"/>
      <c r="C20" s="193" t="s">
        <v>93</v>
      </c>
      <c r="D20" s="249"/>
      <c r="E20" s="185">
        <v>3184442.6293548313</v>
      </c>
      <c r="F20" s="14"/>
      <c r="H20" s="192"/>
    </row>
    <row r="21" spans="2:8" ht="12.75">
      <c r="B21" s="86"/>
      <c r="C21" s="193" t="s">
        <v>94</v>
      </c>
      <c r="D21" s="249"/>
      <c r="E21" s="185">
        <v>3236974.034851256</v>
      </c>
      <c r="F21" s="14"/>
      <c r="H21" s="192"/>
    </row>
    <row r="22" spans="2:8" ht="12.75">
      <c r="B22" s="86"/>
      <c r="C22" s="193" t="s">
        <v>95</v>
      </c>
      <c r="D22" s="249"/>
      <c r="E22" s="185">
        <v>2982958.3051064736</v>
      </c>
      <c r="F22" s="14"/>
      <c r="H22" s="192"/>
    </row>
    <row r="23" spans="2:8" s="75" customFormat="1" ht="12.75">
      <c r="B23" s="249"/>
      <c r="C23" s="193" t="s">
        <v>96</v>
      </c>
      <c r="D23" s="249"/>
      <c r="E23" s="432">
        <v>2895368.6944287587</v>
      </c>
      <c r="F23" s="250"/>
      <c r="H23" s="192"/>
    </row>
    <row r="24" spans="2:8" ht="12.75">
      <c r="B24" s="86"/>
      <c r="C24" s="193" t="s">
        <v>97</v>
      </c>
      <c r="D24" s="249"/>
      <c r="E24" s="431">
        <v>2876987.5762023116</v>
      </c>
      <c r="F24" s="14"/>
      <c r="H24" s="192"/>
    </row>
    <row r="25" spans="2:8" ht="12.75">
      <c r="B25" s="86"/>
      <c r="C25" s="10"/>
      <c r="D25" s="86"/>
      <c r="E25" s="183"/>
      <c r="F25" s="14"/>
      <c r="H25" s="92"/>
    </row>
    <row r="26" spans="2:8" ht="12.75">
      <c r="B26" s="86"/>
      <c r="C26" s="10" t="s">
        <v>63</v>
      </c>
      <c r="D26" s="86"/>
      <c r="E26" s="185">
        <f>SUM(E13:E24)</f>
        <v>34902676.979610026</v>
      </c>
      <c r="F26" s="14"/>
      <c r="H26" s="11"/>
    </row>
    <row r="27" spans="2:8" ht="12.75">
      <c r="B27" s="86"/>
      <c r="C27" s="10"/>
      <c r="D27" s="86"/>
      <c r="E27" s="183"/>
      <c r="F27" s="14"/>
      <c r="H27" s="92"/>
    </row>
    <row r="28" spans="2:6" ht="13.5" thickBot="1">
      <c r="B28" s="70"/>
      <c r="C28" s="15"/>
      <c r="D28" s="70"/>
      <c r="E28" s="429"/>
      <c r="F28" s="16"/>
    </row>
    <row r="38" ht="12.75">
      <c r="E38" s="75"/>
    </row>
  </sheetData>
  <sheetProtection/>
  <printOptions horizontalCentered="1"/>
  <pageMargins left="0" right="0" top="1" bottom="0.5" header="1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8"/>
  <sheetViews>
    <sheetView zoomScalePageLayoutView="0" workbookViewId="0" topLeftCell="B1">
      <pane ySplit="9" topLeftCell="A10" activePane="bottomLeft" state="frozen"/>
      <selection pane="topLeft" activeCell="J15" sqref="J15"/>
      <selection pane="bottomLeft" activeCell="D32" sqref="D32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0.5625" style="0" customWidth="1"/>
    <col min="4" max="4" width="60.7109375" style="0" customWidth="1"/>
    <col min="5" max="5" width="0.5625" style="0" customWidth="1"/>
    <col min="6" max="6" width="15.7109375" style="0" customWidth="1"/>
    <col min="7" max="7" width="0.5625" style="0" customWidth="1"/>
    <col min="8" max="8" width="15.7109375" style="0" customWidth="1"/>
  </cols>
  <sheetData>
    <row r="1" spans="4:8" ht="12.75">
      <c r="D1" s="103"/>
      <c r="H1" s="2"/>
    </row>
    <row r="2" spans="4:8" ht="12.75">
      <c r="D2" s="103"/>
      <c r="H2" s="2" t="s">
        <v>4</v>
      </c>
    </row>
    <row r="3" spans="4:8" ht="12.75">
      <c r="D3" s="101"/>
      <c r="H3" s="2"/>
    </row>
    <row r="4" ht="12.75">
      <c r="D4" s="94" t="s">
        <v>44</v>
      </c>
    </row>
    <row r="5" ht="12.75">
      <c r="D5" s="94" t="s">
        <v>75</v>
      </c>
    </row>
    <row r="6" ht="12.75">
      <c r="D6" s="2" t="str">
        <f>+'ES 1.0'!E7</f>
        <v>For the Expense Month of Sample Only</v>
      </c>
    </row>
    <row r="7" ht="12.75">
      <c r="D7" s="59"/>
    </row>
    <row r="8" ht="12.75">
      <c r="D8" s="116" t="s">
        <v>127</v>
      </c>
    </row>
    <row r="10" ht="13.5" thickBot="1"/>
    <row r="11" spans="2:13" ht="30" customHeight="1" thickBot="1">
      <c r="B11" s="35" t="s">
        <v>59</v>
      </c>
      <c r="C11" s="79"/>
      <c r="D11" s="36" t="s">
        <v>113</v>
      </c>
      <c r="E11" s="79"/>
      <c r="F11" s="77"/>
      <c r="G11" s="79"/>
      <c r="H11" s="81"/>
      <c r="I11" s="60"/>
      <c r="J11" s="60"/>
      <c r="K11" s="60"/>
      <c r="L11" s="60"/>
      <c r="M11" s="60"/>
    </row>
    <row r="12" spans="2:8" ht="12.75">
      <c r="B12" s="51"/>
      <c r="C12" s="17"/>
      <c r="D12" s="90"/>
      <c r="E12" s="17"/>
      <c r="F12" s="90"/>
      <c r="G12" s="17"/>
      <c r="H12" s="90"/>
    </row>
    <row r="13" spans="2:8" ht="12.75">
      <c r="B13" s="9"/>
      <c r="C13" s="19"/>
      <c r="D13" s="556" t="s">
        <v>251</v>
      </c>
      <c r="E13" s="19"/>
      <c r="F13" s="183"/>
      <c r="G13" s="19"/>
      <c r="H13" s="183"/>
    </row>
    <row r="14" spans="2:8" ht="12.75">
      <c r="B14" s="9">
        <v>1</v>
      </c>
      <c r="C14" s="19"/>
      <c r="D14" s="565" t="s">
        <v>337</v>
      </c>
      <c r="E14" s="19"/>
      <c r="F14" s="183"/>
      <c r="G14" s="19"/>
      <c r="H14" s="185">
        <f>'ES 3.13'!E41</f>
        <v>3324905.5447045974</v>
      </c>
    </row>
    <row r="15" spans="2:8" ht="12.75">
      <c r="B15" s="9"/>
      <c r="C15" s="19"/>
      <c r="D15" s="557"/>
      <c r="E15" s="19"/>
      <c r="F15" s="183"/>
      <c r="G15" s="19"/>
      <c r="H15" s="183"/>
    </row>
    <row r="16" spans="2:8" ht="12.75">
      <c r="B16" s="9"/>
      <c r="C16" s="19"/>
      <c r="D16" s="556" t="s">
        <v>128</v>
      </c>
      <c r="E16" s="19"/>
      <c r="F16" s="183"/>
      <c r="G16" s="19"/>
      <c r="H16" s="183"/>
    </row>
    <row r="17" spans="2:8" ht="12.75">
      <c r="B17" s="9"/>
      <c r="C17" s="19"/>
      <c r="D17" s="566" t="s">
        <v>338</v>
      </c>
      <c r="E17" s="19"/>
      <c r="F17" s="183"/>
      <c r="G17" s="19"/>
      <c r="H17" s="183"/>
    </row>
    <row r="18" spans="2:8" ht="12.75">
      <c r="B18" s="9">
        <v>2</v>
      </c>
      <c r="C18" s="19"/>
      <c r="D18" s="565" t="s">
        <v>339</v>
      </c>
      <c r="E18" s="19"/>
      <c r="F18" s="183"/>
      <c r="G18" s="19"/>
      <c r="H18" s="185">
        <f>'ES 3.20'!E27</f>
        <v>767074.0071732656</v>
      </c>
    </row>
    <row r="19" spans="2:8" ht="12.75">
      <c r="B19" s="9"/>
      <c r="C19" s="19"/>
      <c r="D19" s="183"/>
      <c r="E19" s="19"/>
      <c r="F19" s="183"/>
      <c r="G19" s="19"/>
      <c r="H19" s="185"/>
    </row>
    <row r="20" spans="2:8" ht="12.75">
      <c r="B20" s="9"/>
      <c r="C20" s="19"/>
      <c r="D20" s="183"/>
      <c r="E20" s="19"/>
      <c r="F20" s="183"/>
      <c r="G20" s="19"/>
      <c r="H20" s="185"/>
    </row>
    <row r="21" spans="2:8" ht="12.75">
      <c r="B21" s="9">
        <v>3</v>
      </c>
      <c r="C21" s="19"/>
      <c r="D21" s="558" t="s">
        <v>324</v>
      </c>
      <c r="E21" s="19"/>
      <c r="F21" s="183"/>
      <c r="G21" s="19"/>
      <c r="H21" s="183"/>
    </row>
    <row r="22" spans="2:8" ht="12.75">
      <c r="B22" s="9"/>
      <c r="C22" s="19"/>
      <c r="D22" s="436" t="s">
        <v>27</v>
      </c>
      <c r="E22" s="19"/>
      <c r="F22" s="183"/>
      <c r="G22" s="19"/>
      <c r="H22" s="183"/>
    </row>
    <row r="23" spans="2:8" ht="12.75">
      <c r="B23" s="9"/>
      <c r="C23" s="19"/>
      <c r="D23" s="436" t="s">
        <v>331</v>
      </c>
      <c r="E23" s="19"/>
      <c r="F23" s="185"/>
      <c r="G23" s="19"/>
      <c r="H23" s="183"/>
    </row>
    <row r="24" spans="2:8" ht="12.75">
      <c r="B24" s="9"/>
      <c r="C24" s="19"/>
      <c r="D24" s="183" t="s">
        <v>129</v>
      </c>
      <c r="E24" s="19"/>
      <c r="F24" s="185">
        <v>12</v>
      </c>
      <c r="G24" s="19"/>
      <c r="H24" s="183"/>
    </row>
    <row r="25" spans="2:8" ht="12.75">
      <c r="B25" s="9"/>
      <c r="C25" s="19"/>
      <c r="D25" s="183"/>
      <c r="E25" s="19"/>
      <c r="F25" s="185"/>
      <c r="G25" s="19"/>
      <c r="H25" s="183"/>
    </row>
    <row r="26" spans="2:8" ht="12.75">
      <c r="B26" s="9"/>
      <c r="C26" s="19"/>
      <c r="D26" s="559" t="s">
        <v>332</v>
      </c>
      <c r="E26" s="19"/>
      <c r="F26" s="554">
        <v>22</v>
      </c>
      <c r="G26" s="19"/>
      <c r="H26" s="183"/>
    </row>
    <row r="27" spans="2:8" ht="12.75">
      <c r="B27" s="9"/>
      <c r="C27" s="19"/>
      <c r="D27" s="183" t="s">
        <v>327</v>
      </c>
      <c r="E27" s="19"/>
      <c r="F27" s="185"/>
      <c r="G27" s="19"/>
      <c r="H27" s="183"/>
    </row>
    <row r="28" spans="2:8" ht="12.75">
      <c r="B28" s="9"/>
      <c r="C28" s="19"/>
      <c r="D28" s="183"/>
      <c r="E28" s="19"/>
      <c r="F28" s="185"/>
      <c r="G28" s="19"/>
      <c r="H28" s="183"/>
    </row>
    <row r="29" spans="2:8" ht="12.75">
      <c r="B29" s="9"/>
      <c r="C29" s="19"/>
      <c r="D29" s="560" t="s">
        <v>130</v>
      </c>
      <c r="E29" s="19"/>
      <c r="F29" s="553">
        <f>+F24+F26</f>
        <v>34</v>
      </c>
      <c r="G29" s="19"/>
      <c r="H29" s="183"/>
    </row>
    <row r="30" spans="2:8" ht="12.75">
      <c r="B30" s="9"/>
      <c r="C30" s="19"/>
      <c r="D30" s="183"/>
      <c r="E30" s="19"/>
      <c r="F30" s="185"/>
      <c r="G30" s="19"/>
      <c r="H30" s="183"/>
    </row>
    <row r="31" spans="2:8" ht="12.75">
      <c r="B31" s="9"/>
      <c r="C31" s="19"/>
      <c r="D31" s="559" t="s">
        <v>329</v>
      </c>
      <c r="E31" s="19"/>
      <c r="F31" s="185">
        <v>1</v>
      </c>
      <c r="G31" s="19"/>
      <c r="H31" s="183"/>
    </row>
    <row r="32" spans="2:8" ht="12.75">
      <c r="B32" s="9"/>
      <c r="C32" s="19"/>
      <c r="D32" s="183"/>
      <c r="E32" s="19"/>
      <c r="F32" s="185"/>
      <c r="G32" s="19"/>
      <c r="H32" s="183"/>
    </row>
    <row r="33" spans="2:8" ht="12.75">
      <c r="B33" s="9"/>
      <c r="C33" s="19"/>
      <c r="D33" s="561" t="s">
        <v>330</v>
      </c>
      <c r="E33" s="19"/>
      <c r="F33" s="185">
        <v>2</v>
      </c>
      <c r="G33" s="19"/>
      <c r="H33" s="183"/>
    </row>
    <row r="34" spans="2:8" ht="12.75">
      <c r="B34" s="9"/>
      <c r="C34" s="19"/>
      <c r="D34" s="562" t="s">
        <v>328</v>
      </c>
      <c r="E34" s="19"/>
      <c r="F34" s="185"/>
      <c r="G34" s="19"/>
      <c r="H34" s="183"/>
    </row>
    <row r="35" spans="2:8" ht="12.75">
      <c r="B35" s="9"/>
      <c r="C35" s="19"/>
      <c r="D35" s="183"/>
      <c r="E35" s="19"/>
      <c r="F35" s="185" t="s">
        <v>27</v>
      </c>
      <c r="G35" s="19"/>
      <c r="H35" s="183"/>
    </row>
    <row r="36" spans="2:8" ht="12.75">
      <c r="B36" s="9"/>
      <c r="C36" s="19"/>
      <c r="D36" s="560" t="s">
        <v>131</v>
      </c>
      <c r="E36" s="19"/>
      <c r="F36" s="554">
        <f>F31+F33</f>
        <v>3</v>
      </c>
      <c r="G36" s="19"/>
      <c r="H36" s="183"/>
    </row>
    <row r="37" spans="2:8" ht="12.75">
      <c r="B37" s="9"/>
      <c r="C37" s="19"/>
      <c r="D37" s="183"/>
      <c r="E37" s="19"/>
      <c r="F37" s="185" t="s">
        <v>27</v>
      </c>
      <c r="G37" s="19"/>
      <c r="H37" s="183"/>
    </row>
    <row r="38" spans="2:8" ht="12" customHeight="1">
      <c r="B38" s="9">
        <v>4</v>
      </c>
      <c r="C38" s="19"/>
      <c r="D38" s="183" t="s">
        <v>38</v>
      </c>
      <c r="E38" s="19"/>
      <c r="F38" s="553" t="s">
        <v>27</v>
      </c>
      <c r="G38" s="19"/>
      <c r="H38" s="185">
        <f>F36+F29</f>
        <v>37</v>
      </c>
    </row>
    <row r="39" spans="2:8" ht="12" customHeight="1">
      <c r="B39" s="9"/>
      <c r="C39" s="19"/>
      <c r="D39" s="183"/>
      <c r="E39" s="22" t="s">
        <v>7</v>
      </c>
      <c r="F39" s="555" t="s">
        <v>115</v>
      </c>
      <c r="G39" s="19"/>
      <c r="H39" s="555" t="s">
        <v>115</v>
      </c>
    </row>
    <row r="40" spans="2:8" ht="12.75">
      <c r="B40" s="9"/>
      <c r="C40" s="19"/>
      <c r="D40" s="183" t="s">
        <v>114</v>
      </c>
      <c r="E40" s="19"/>
      <c r="F40" s="183"/>
      <c r="G40" s="19"/>
      <c r="H40" s="183"/>
    </row>
    <row r="41" spans="2:8" ht="12.75">
      <c r="B41" s="9">
        <v>5</v>
      </c>
      <c r="C41" s="19"/>
      <c r="D41" s="563" t="s">
        <v>326</v>
      </c>
      <c r="E41" s="19"/>
      <c r="F41" s="183"/>
      <c r="G41" s="19"/>
      <c r="H41" s="185">
        <f>+H14+H18-H38</f>
        <v>4091942.551877863</v>
      </c>
    </row>
    <row r="42" spans="2:8" ht="12.75">
      <c r="B42" s="9"/>
      <c r="C42" s="19"/>
      <c r="D42" s="183"/>
      <c r="E42" s="19"/>
      <c r="F42" s="183"/>
      <c r="G42" s="19"/>
      <c r="H42" s="183"/>
    </row>
    <row r="43" spans="2:8" ht="12.75">
      <c r="B43" s="9"/>
      <c r="C43" s="19"/>
      <c r="D43" s="183"/>
      <c r="E43" s="19"/>
      <c r="F43" s="183"/>
      <c r="G43" s="19"/>
      <c r="H43" s="183"/>
    </row>
    <row r="44" spans="2:8" ht="12.75">
      <c r="B44" s="9"/>
      <c r="C44" s="19"/>
      <c r="D44" s="183"/>
      <c r="E44" s="19"/>
      <c r="F44" s="183"/>
      <c r="G44" s="19"/>
      <c r="H44" s="183"/>
    </row>
    <row r="45" spans="2:8" ht="12.75">
      <c r="B45" s="9"/>
      <c r="C45" s="19"/>
      <c r="D45" s="183"/>
      <c r="E45" s="19"/>
      <c r="F45" s="183"/>
      <c r="G45" s="19"/>
      <c r="H45" s="183"/>
    </row>
    <row r="46" spans="2:8" ht="13.5" thickBot="1">
      <c r="B46" s="43"/>
      <c r="C46" s="20"/>
      <c r="D46" s="184"/>
      <c r="E46" s="20"/>
      <c r="F46" s="184"/>
      <c r="G46" s="20"/>
      <c r="H46" s="184"/>
    </row>
    <row r="47" ht="12.75">
      <c r="B47" s="80"/>
    </row>
    <row r="48" ht="12.75">
      <c r="B48" s="80"/>
    </row>
    <row r="49" spans="2:5" ht="12.75">
      <c r="B49" s="80"/>
      <c r="E49" s="75"/>
    </row>
    <row r="50" ht="12.75">
      <c r="B50" s="80"/>
    </row>
    <row r="51" ht="12.75">
      <c r="B51" s="80"/>
    </row>
    <row r="52" ht="12.75">
      <c r="B52" s="80"/>
    </row>
    <row r="53" ht="12.75">
      <c r="B53" s="80"/>
    </row>
    <row r="54" ht="12.75">
      <c r="B54" s="80"/>
    </row>
    <row r="55" ht="12.75">
      <c r="B55" s="80"/>
    </row>
    <row r="56" ht="12.75">
      <c r="B56" s="80"/>
    </row>
    <row r="57" ht="12.75">
      <c r="B57" s="80"/>
    </row>
    <row r="58" ht="12.75">
      <c r="B58" s="80"/>
    </row>
  </sheetData>
  <sheetProtection/>
  <printOptions horizontalCentered="1"/>
  <pageMargins left="0" right="0" top="0.5" bottom="0.5" header="0.5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O74"/>
  <sheetViews>
    <sheetView view="pageBreakPreview" zoomScale="60" zoomScalePageLayoutView="0" workbookViewId="0" topLeftCell="A1">
      <pane ySplit="12" topLeftCell="A13" activePane="bottomLeft" state="frozen"/>
      <selection pane="topLeft" activeCell="D35" sqref="D35"/>
      <selection pane="bottomLeft" activeCell="L33" sqref="L33:M33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0.5625" style="0" customWidth="1"/>
    <col min="4" max="4" width="0.13671875" style="113" customWidth="1"/>
    <col min="5" max="5" width="12.7109375" style="0" customWidth="1"/>
    <col min="6" max="6" width="0.5625" style="0" customWidth="1"/>
    <col min="7" max="7" width="12.7109375" style="0" customWidth="1"/>
    <col min="8" max="8" width="0.5625" style="0" customWidth="1"/>
    <col min="9" max="9" width="15.00390625" style="0" bestFit="1" customWidth="1"/>
    <col min="10" max="10" width="3.7109375" style="0" customWidth="1"/>
    <col min="11" max="11" width="10.00390625" style="0" bestFit="1" customWidth="1"/>
    <col min="12" max="12" width="12.7109375" style="0" customWidth="1"/>
    <col min="13" max="13" width="11.7109375" style="0" bestFit="1" customWidth="1"/>
    <col min="14" max="14" width="14.421875" style="0" bestFit="1" customWidth="1"/>
    <col min="15" max="15" width="10.7109375" style="0" bestFit="1" customWidth="1"/>
    <col min="16" max="16" width="2.28125" style="0" customWidth="1"/>
  </cols>
  <sheetData>
    <row r="2" spans="9:15" ht="12.75">
      <c r="I2" s="522" t="s">
        <v>319</v>
      </c>
      <c r="K2" s="594"/>
      <c r="L2" s="595"/>
      <c r="M2" s="595"/>
      <c r="N2" s="595"/>
      <c r="O2" s="595"/>
    </row>
    <row r="4" spans="2:6" ht="12.75">
      <c r="B4" s="1"/>
      <c r="C4" s="1"/>
      <c r="D4" s="200"/>
      <c r="E4" s="94" t="s">
        <v>44</v>
      </c>
      <c r="F4" s="1"/>
    </row>
    <row r="5" spans="2:6" ht="12.75">
      <c r="B5" s="1"/>
      <c r="C5" s="1"/>
      <c r="D5" s="200"/>
      <c r="E5" s="94" t="s">
        <v>75</v>
      </c>
      <c r="F5" s="1"/>
    </row>
    <row r="6" ht="12.75">
      <c r="E6" s="2" t="s">
        <v>135</v>
      </c>
    </row>
    <row r="7" ht="12.75">
      <c r="E7" s="101" t="s">
        <v>27</v>
      </c>
    </row>
    <row r="8" spans="2:5" ht="12.75">
      <c r="B8" s="59"/>
      <c r="C8" s="59"/>
      <c r="D8" s="201"/>
      <c r="E8" s="2" t="str">
        <f>+'ES 1.0'!E7</f>
        <v>For the Expense Month of Sample Only</v>
      </c>
    </row>
    <row r="9" spans="11:15" ht="12.75">
      <c r="K9" s="596"/>
      <c r="L9" s="597"/>
      <c r="M9" s="597"/>
      <c r="N9" s="597"/>
      <c r="O9" s="597"/>
    </row>
    <row r="10" ht="13.5" thickBot="1"/>
    <row r="11" spans="2:15" ht="12.75">
      <c r="B11" s="83"/>
      <c r="C11" s="17"/>
      <c r="D11" s="17"/>
      <c r="E11" s="84" t="s">
        <v>100</v>
      </c>
      <c r="F11" s="17"/>
      <c r="G11" s="84">
        <v>-2</v>
      </c>
      <c r="H11" s="17"/>
      <c r="I11" s="85">
        <v>-3</v>
      </c>
      <c r="K11" s="596"/>
      <c r="L11" s="597"/>
      <c r="M11" s="597"/>
      <c r="N11" s="597"/>
      <c r="O11" s="597"/>
    </row>
    <row r="12" spans="2:15" s="60" customFormat="1" ht="39.75" thickBot="1">
      <c r="B12" s="88"/>
      <c r="C12" s="63"/>
      <c r="D12" s="63"/>
      <c r="E12" s="64" t="s">
        <v>99</v>
      </c>
      <c r="F12" s="63"/>
      <c r="G12" s="64" t="s">
        <v>158</v>
      </c>
      <c r="H12" s="63"/>
      <c r="I12" s="65" t="s">
        <v>101</v>
      </c>
      <c r="K12" s="106"/>
      <c r="L12" s="106"/>
      <c r="M12" s="106"/>
      <c r="N12" s="106"/>
      <c r="O12" s="106"/>
    </row>
    <row r="13" spans="2:9" ht="12.75">
      <c r="B13" s="83"/>
      <c r="C13" s="17"/>
      <c r="D13" s="17"/>
      <c r="E13" s="5"/>
      <c r="F13" s="17"/>
      <c r="G13" s="5"/>
      <c r="H13" s="17"/>
      <c r="I13" s="6"/>
    </row>
    <row r="14" spans="2:15" ht="12.75">
      <c r="B14" s="86" t="s">
        <v>155</v>
      </c>
      <c r="C14" s="19"/>
      <c r="D14" s="19"/>
      <c r="E14" s="132">
        <v>1117037</v>
      </c>
      <c r="F14" s="19"/>
      <c r="G14" s="11">
        <v>10415387.73</v>
      </c>
      <c r="H14" s="19"/>
      <c r="I14" s="162">
        <f>G14/E14</f>
        <v>9.324120624473496</v>
      </c>
      <c r="K14" s="32"/>
      <c r="L14" s="61"/>
      <c r="M14" s="76"/>
      <c r="N14" s="61"/>
      <c r="O14" s="108"/>
    </row>
    <row r="15" spans="2:15" ht="12.75">
      <c r="B15" s="86" t="s">
        <v>102</v>
      </c>
      <c r="C15" s="19"/>
      <c r="D15" s="19"/>
      <c r="E15" s="39"/>
      <c r="F15" s="19"/>
      <c r="G15" s="11"/>
      <c r="H15" s="19"/>
      <c r="I15" s="87"/>
      <c r="K15" s="32"/>
      <c r="L15" s="61"/>
      <c r="M15" s="76"/>
      <c r="N15" s="61"/>
      <c r="O15" s="108"/>
    </row>
    <row r="16" spans="2:15" ht="12.75">
      <c r="B16" s="86" t="s">
        <v>103</v>
      </c>
      <c r="C16" s="19"/>
      <c r="D16" s="19"/>
      <c r="E16" s="112">
        <v>0</v>
      </c>
      <c r="F16" s="19"/>
      <c r="G16" s="11">
        <v>0</v>
      </c>
      <c r="H16" s="19"/>
      <c r="I16" s="162">
        <v>0</v>
      </c>
      <c r="K16" s="32"/>
      <c r="L16" s="61"/>
      <c r="M16" s="76"/>
      <c r="N16" s="61"/>
      <c r="O16" s="108"/>
    </row>
    <row r="17" spans="2:15" ht="12.75">
      <c r="B17" s="86" t="s">
        <v>104</v>
      </c>
      <c r="C17" s="19"/>
      <c r="D17" s="19"/>
      <c r="E17" s="112">
        <v>0</v>
      </c>
      <c r="F17" s="19"/>
      <c r="G17" s="11">
        <v>0</v>
      </c>
      <c r="H17" s="19"/>
      <c r="I17" s="162">
        <v>0</v>
      </c>
      <c r="K17" s="32"/>
      <c r="L17" s="61"/>
      <c r="M17" s="76"/>
      <c r="N17" s="61"/>
      <c r="O17" s="108"/>
    </row>
    <row r="18" spans="2:15" ht="12.75">
      <c r="B18" s="86" t="s">
        <v>105</v>
      </c>
      <c r="C18" s="19"/>
      <c r="D18" s="19"/>
      <c r="E18" s="112">
        <v>0</v>
      </c>
      <c r="F18" s="19"/>
      <c r="G18" s="11">
        <v>0</v>
      </c>
      <c r="H18" s="19"/>
      <c r="I18" s="162">
        <v>0</v>
      </c>
      <c r="K18" s="32"/>
      <c r="L18" s="61"/>
      <c r="M18" s="76"/>
      <c r="N18" s="61"/>
      <c r="O18" s="170"/>
    </row>
    <row r="19" spans="2:15" ht="12.75">
      <c r="B19" s="86" t="s">
        <v>106</v>
      </c>
      <c r="C19" s="19"/>
      <c r="D19" s="19"/>
      <c r="E19" s="112">
        <v>0</v>
      </c>
      <c r="F19" s="19"/>
      <c r="G19" s="11">
        <v>0</v>
      </c>
      <c r="H19" s="19"/>
      <c r="I19" s="162">
        <v>0</v>
      </c>
      <c r="K19" s="32"/>
      <c r="L19" s="61"/>
      <c r="M19" s="76"/>
      <c r="N19" s="61"/>
      <c r="O19" s="108"/>
    </row>
    <row r="20" spans="2:15" ht="12.75">
      <c r="B20" s="86" t="s">
        <v>107</v>
      </c>
      <c r="C20" s="19"/>
      <c r="D20" s="19"/>
      <c r="E20" s="112">
        <v>0</v>
      </c>
      <c r="F20" s="19"/>
      <c r="G20" s="115">
        <v>0</v>
      </c>
      <c r="H20" s="171"/>
      <c r="I20" s="172">
        <v>0</v>
      </c>
      <c r="K20" s="32"/>
      <c r="L20" s="61"/>
      <c r="M20" s="76"/>
      <c r="N20" s="61"/>
      <c r="O20" s="108"/>
    </row>
    <row r="21" spans="2:15" ht="26.25">
      <c r="B21" s="164" t="s">
        <v>43</v>
      </c>
      <c r="C21" s="19"/>
      <c r="D21" s="19"/>
      <c r="E21" s="112">
        <v>0</v>
      </c>
      <c r="F21" s="19"/>
      <c r="G21" s="115">
        <v>0</v>
      </c>
      <c r="H21" s="171"/>
      <c r="I21" s="172">
        <v>0</v>
      </c>
      <c r="K21" s="32"/>
      <c r="L21" s="61"/>
      <c r="M21" s="76"/>
      <c r="N21" s="61"/>
      <c r="O21" s="108"/>
    </row>
    <row r="22" spans="2:15" ht="12.75">
      <c r="B22" s="164"/>
      <c r="C22" s="19"/>
      <c r="D22" s="19"/>
      <c r="E22" s="112"/>
      <c r="F22" s="19"/>
      <c r="G22" s="115"/>
      <c r="H22" s="171"/>
      <c r="I22" s="172"/>
      <c r="K22" s="32"/>
      <c r="L22" s="61"/>
      <c r="M22" s="76"/>
      <c r="N22" s="61"/>
      <c r="O22" s="108"/>
    </row>
    <row r="23" spans="2:15" ht="12.75">
      <c r="B23" s="86" t="s">
        <v>108</v>
      </c>
      <c r="C23" s="19"/>
      <c r="D23" s="19"/>
      <c r="E23" s="112"/>
      <c r="F23" s="19"/>
      <c r="G23" s="115"/>
      <c r="H23" s="171"/>
      <c r="I23" s="173"/>
      <c r="K23" s="32"/>
      <c r="L23" s="61"/>
      <c r="M23" s="76"/>
      <c r="N23" s="61"/>
      <c r="O23" s="108"/>
    </row>
    <row r="24" spans="2:15" ht="12.75">
      <c r="B24" s="86" t="s">
        <v>109</v>
      </c>
      <c r="C24" s="19"/>
      <c r="D24" s="19"/>
      <c r="E24" s="112">
        <v>0</v>
      </c>
      <c r="F24" s="19"/>
      <c r="G24" s="115">
        <v>0</v>
      </c>
      <c r="H24" s="171"/>
      <c r="I24" s="172">
        <v>0</v>
      </c>
      <c r="K24" s="32"/>
      <c r="L24" s="61"/>
      <c r="M24" s="76"/>
      <c r="N24" s="61"/>
      <c r="O24" s="108"/>
    </row>
    <row r="25" spans="2:15" ht="12.75">
      <c r="B25" s="86" t="s">
        <v>110</v>
      </c>
      <c r="C25" s="19"/>
      <c r="D25" s="19"/>
      <c r="E25" s="112">
        <v>0</v>
      </c>
      <c r="F25" s="19"/>
      <c r="G25" s="115">
        <v>0</v>
      </c>
      <c r="H25" s="171"/>
      <c r="I25" s="172">
        <v>0</v>
      </c>
      <c r="K25" s="32"/>
      <c r="L25" s="61"/>
      <c r="M25" s="76"/>
      <c r="N25" s="61"/>
      <c r="O25" s="108"/>
    </row>
    <row r="26" spans="2:9" ht="12.75">
      <c r="B26" s="86" t="s">
        <v>111</v>
      </c>
      <c r="C26" s="19"/>
      <c r="D26" s="19"/>
      <c r="E26" s="112">
        <v>0</v>
      </c>
      <c r="F26" s="19"/>
      <c r="G26" s="115">
        <v>0</v>
      </c>
      <c r="H26" s="171"/>
      <c r="I26" s="172">
        <v>0</v>
      </c>
    </row>
    <row r="27" spans="2:9" ht="26.25">
      <c r="B27" s="164" t="s">
        <v>43</v>
      </c>
      <c r="C27" s="19"/>
      <c r="D27" s="19"/>
      <c r="E27" s="112">
        <v>0</v>
      </c>
      <c r="F27" s="19"/>
      <c r="G27" s="115">
        <v>0</v>
      </c>
      <c r="H27" s="171"/>
      <c r="I27" s="172">
        <v>0</v>
      </c>
    </row>
    <row r="28" spans="2:9" ht="6" customHeight="1">
      <c r="B28" s="164"/>
      <c r="C28" s="19"/>
      <c r="D28" s="19"/>
      <c r="E28" s="112"/>
      <c r="F28" s="19"/>
      <c r="G28" s="115"/>
      <c r="H28" s="171"/>
      <c r="I28" s="172"/>
    </row>
    <row r="29" spans="2:15" ht="34.5">
      <c r="B29" s="202" t="s">
        <v>133</v>
      </c>
      <c r="C29" s="19"/>
      <c r="D29" s="19"/>
      <c r="E29" s="198">
        <v>0</v>
      </c>
      <c r="F29" s="19"/>
      <c r="G29" s="176">
        <v>0</v>
      </c>
      <c r="H29" s="171"/>
      <c r="I29" s="172"/>
      <c r="K29" s="101"/>
      <c r="L29" s="102"/>
      <c r="M29" s="104"/>
      <c r="N29" s="102"/>
      <c r="O29" s="109"/>
    </row>
    <row r="30" spans="2:15" ht="6" customHeight="1">
      <c r="B30" s="202"/>
      <c r="C30" s="19"/>
      <c r="D30" s="19"/>
      <c r="E30" s="112"/>
      <c r="F30" s="19"/>
      <c r="G30" s="115"/>
      <c r="H30" s="171"/>
      <c r="I30" s="172"/>
      <c r="K30" s="101"/>
      <c r="L30" s="102"/>
      <c r="M30" s="104"/>
      <c r="N30" s="102"/>
      <c r="O30" s="109"/>
    </row>
    <row r="31" spans="2:13" ht="34.5">
      <c r="B31" s="202" t="s">
        <v>134</v>
      </c>
      <c r="C31" s="19"/>
      <c r="D31" s="19"/>
      <c r="E31" s="254">
        <f>O66+O67</f>
        <v>2040</v>
      </c>
      <c r="F31" s="255"/>
      <c r="G31" s="256">
        <f>N66+N67</f>
        <v>192697.75433308212</v>
      </c>
      <c r="H31" s="257"/>
      <c r="I31" s="263">
        <f>G31/E31</f>
        <v>94.45968349660889</v>
      </c>
      <c r="L31" s="207"/>
      <c r="M31" s="106"/>
    </row>
    <row r="32" spans="2:9" ht="6" customHeight="1">
      <c r="B32" s="202"/>
      <c r="C32" s="19"/>
      <c r="D32" s="19"/>
      <c r="E32" s="198"/>
      <c r="F32" s="19"/>
      <c r="G32" s="93"/>
      <c r="H32" s="171"/>
      <c r="I32" s="172"/>
    </row>
    <row r="33" spans="2:14" ht="39.75" thickBot="1">
      <c r="B33" s="119" t="s">
        <v>42</v>
      </c>
      <c r="C33" s="20"/>
      <c r="D33" s="20"/>
      <c r="E33" s="253">
        <f>E14-E31+E16</f>
        <v>1114997</v>
      </c>
      <c r="F33" s="20"/>
      <c r="G33" s="253">
        <f>G14-G31</f>
        <v>10222689.975666918</v>
      </c>
      <c r="H33" s="20"/>
      <c r="I33" s="172">
        <f>G33/E33</f>
        <v>9.168356484965356</v>
      </c>
      <c r="L33" s="592"/>
      <c r="M33" s="593"/>
      <c r="N33" s="106"/>
    </row>
    <row r="34" spans="2:14" ht="12.75">
      <c r="B34" s="5"/>
      <c r="C34" s="5"/>
      <c r="D34" s="194"/>
      <c r="E34" s="5"/>
      <c r="F34" s="5"/>
      <c r="G34" s="5"/>
      <c r="H34" s="5"/>
      <c r="I34" s="231"/>
      <c r="K34" s="101"/>
      <c r="L34" s="118"/>
      <c r="M34" s="118"/>
      <c r="N34" s="206"/>
    </row>
    <row r="35" spans="2:11" ht="12.75">
      <c r="B35" s="10"/>
      <c r="C35" s="10"/>
      <c r="D35" s="62"/>
      <c r="E35" s="10"/>
      <c r="F35" s="10"/>
      <c r="G35" s="10"/>
      <c r="H35" s="10"/>
      <c r="I35" s="230"/>
      <c r="J35" s="10"/>
      <c r="K35" s="100"/>
    </row>
    <row r="36" spans="2:14" ht="12.75">
      <c r="B36" s="10"/>
      <c r="C36" s="10"/>
      <c r="D36" s="62"/>
      <c r="E36" s="10"/>
      <c r="F36" s="10"/>
      <c r="G36" s="10"/>
      <c r="H36" s="10"/>
      <c r="I36" s="10"/>
      <c r="J36" s="10"/>
      <c r="L36" s="61"/>
      <c r="M36" s="76"/>
      <c r="N36" s="158"/>
    </row>
    <row r="37" ht="12.75">
      <c r="N37" s="158"/>
    </row>
    <row r="38" spans="2:14" ht="12.75">
      <c r="B38" s="100"/>
      <c r="N38" s="158"/>
    </row>
    <row r="39" ht="12.75">
      <c r="N39" s="165"/>
    </row>
    <row r="40" spans="2:9" ht="12.75">
      <c r="B40" s="33"/>
      <c r="I40" s="61"/>
    </row>
    <row r="41" spans="9:14" ht="12.75">
      <c r="I41" s="76"/>
      <c r="N41" s="158"/>
    </row>
    <row r="42" ht="12.75">
      <c r="N42" s="158"/>
    </row>
    <row r="44" spans="2:14" ht="12.75">
      <c r="B44" s="100"/>
      <c r="N44" s="165"/>
    </row>
    <row r="47" spans="14:15" ht="12.75">
      <c r="N47" s="166"/>
      <c r="O47" s="101"/>
    </row>
    <row r="50" spans="13:14" ht="12.75">
      <c r="M50" s="75"/>
      <c r="N50" s="158"/>
    </row>
    <row r="51" spans="2:14" ht="12.75">
      <c r="B51" s="100"/>
      <c r="M51" s="175"/>
      <c r="N51" s="158"/>
    </row>
    <row r="53" ht="12.75">
      <c r="N53" s="175"/>
    </row>
    <row r="61" spans="11:15" ht="12.75">
      <c r="K61" s="596" t="s">
        <v>250</v>
      </c>
      <c r="L61" s="597"/>
      <c r="M61" s="597"/>
      <c r="N61" s="597"/>
      <c r="O61" s="597"/>
    </row>
    <row r="62" ht="12.75">
      <c r="M62" t="str">
        <f>E8</f>
        <v>For the Expense Month of Sample Only</v>
      </c>
    </row>
    <row r="64" spans="11:15" ht="52.5">
      <c r="K64" s="106" t="s">
        <v>150</v>
      </c>
      <c r="L64" s="106" t="s">
        <v>144</v>
      </c>
      <c r="M64" s="106" t="s">
        <v>145</v>
      </c>
      <c r="N64" s="106" t="s">
        <v>147</v>
      </c>
      <c r="O64" s="106" t="s">
        <v>148</v>
      </c>
    </row>
    <row r="66" spans="11:15" ht="12.75">
      <c r="K66" s="61" t="s">
        <v>142</v>
      </c>
      <c r="L66" s="61">
        <v>556</v>
      </c>
      <c r="M66" s="225">
        <f>L66/$L$69</f>
        <v>0.4189902034664657</v>
      </c>
      <c r="N66" s="226">
        <f>M66*$N$72</f>
        <v>105039.16804822908</v>
      </c>
      <c r="O66" s="61">
        <f>M66*$N$73</f>
        <v>1112</v>
      </c>
    </row>
    <row r="67" spans="11:15" ht="12.75">
      <c r="K67" s="243" t="s">
        <v>143</v>
      </c>
      <c r="L67" s="243">
        <v>464</v>
      </c>
      <c r="M67" s="244">
        <f>L67/$L$69</f>
        <v>0.3496608892238131</v>
      </c>
      <c r="N67" s="245">
        <f>M67*$N$72</f>
        <v>87658.58628485305</v>
      </c>
      <c r="O67" s="243">
        <f>M67*$N$73</f>
        <v>928</v>
      </c>
    </row>
    <row r="68" spans="11:15" ht="12.75">
      <c r="K68" s="243" t="s">
        <v>48</v>
      </c>
      <c r="L68" s="243">
        <f>142+165</f>
        <v>307</v>
      </c>
      <c r="M68" s="244">
        <f>L68/$L$69</f>
        <v>0.23134890730972119</v>
      </c>
      <c r="N68" s="245">
        <f>M68*$N$72</f>
        <v>57998.245666917865</v>
      </c>
      <c r="O68" s="243">
        <f>M68*$N$73</f>
        <v>614</v>
      </c>
    </row>
    <row r="69" spans="11:15" ht="12.75">
      <c r="K69" s="102" t="s">
        <v>126</v>
      </c>
      <c r="L69" s="102">
        <f>SUM(L66:L68)</f>
        <v>1327</v>
      </c>
      <c r="M69" s="227">
        <f>SUM(M66:M68)</f>
        <v>1</v>
      </c>
      <c r="N69" s="228">
        <f>M69*$N$72</f>
        <v>250696</v>
      </c>
      <c r="O69" s="102">
        <f>SUM(O66:O68)</f>
        <v>2654</v>
      </c>
    </row>
    <row r="70" spans="11:15" ht="12.75">
      <c r="K70" s="102"/>
      <c r="L70" s="102"/>
      <c r="M70" s="102"/>
      <c r="N70" s="100"/>
      <c r="O70" s="61"/>
    </row>
    <row r="71" spans="11:15" ht="12.75">
      <c r="K71" s="102"/>
      <c r="L71" s="102"/>
      <c r="M71" s="102"/>
      <c r="N71" s="100"/>
      <c r="O71" s="61"/>
    </row>
    <row r="72" spans="11:15" ht="12.75">
      <c r="K72" s="102" t="s">
        <v>146</v>
      </c>
      <c r="L72" s="102"/>
      <c r="M72" s="102"/>
      <c r="N72" s="236">
        <v>250696</v>
      </c>
      <c r="O72" s="61"/>
    </row>
    <row r="73" spans="11:15" ht="12.75">
      <c r="K73" s="102" t="s">
        <v>149</v>
      </c>
      <c r="L73" s="61"/>
      <c r="M73" s="61"/>
      <c r="N73" s="237">
        <v>2654</v>
      </c>
      <c r="O73" s="61"/>
    </row>
    <row r="74" spans="11:15" ht="12.75">
      <c r="K74" s="61"/>
      <c r="L74" s="61"/>
      <c r="M74" s="61"/>
      <c r="N74" s="163" t="s">
        <v>27</v>
      </c>
      <c r="O74" s="61"/>
    </row>
  </sheetData>
  <sheetProtection/>
  <mergeCells count="5">
    <mergeCell ref="L33:M33"/>
    <mergeCell ref="K2:O2"/>
    <mergeCell ref="K9:O9"/>
    <mergeCell ref="K11:O11"/>
    <mergeCell ref="K61:O61"/>
  </mergeCells>
  <printOptions horizontalCentered="1"/>
  <pageMargins left="0" right="0" top="0.5" bottom="0.5" header="0" footer="0"/>
  <pageSetup horizontalDpi="300" verticalDpi="300" orientation="portrait" scale="90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O72"/>
  <sheetViews>
    <sheetView view="pageBreakPreview" zoomScale="60" zoomScalePageLayoutView="0" workbookViewId="0" topLeftCell="B1">
      <pane ySplit="12" topLeftCell="A22" activePane="bottomLeft" state="frozen"/>
      <selection pane="topLeft" activeCell="D35" sqref="D35"/>
      <selection pane="bottomLeft" activeCell="M43" sqref="M43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0.5625" style="0" customWidth="1"/>
    <col min="4" max="4" width="0.13671875" style="113" customWidth="1"/>
    <col min="5" max="5" width="12.7109375" style="0" customWidth="1"/>
    <col min="6" max="6" width="0.5625" style="0" customWidth="1"/>
    <col min="7" max="7" width="12.7109375" style="0" customWidth="1"/>
    <col min="8" max="8" width="0.5625" style="0" customWidth="1"/>
    <col min="9" max="9" width="15.00390625" style="0" bestFit="1" customWidth="1"/>
    <col min="10" max="10" width="3.7109375" style="0" customWidth="1"/>
    <col min="11" max="11" width="10.00390625" style="0" bestFit="1" customWidth="1"/>
    <col min="12" max="12" width="12.7109375" style="0" customWidth="1"/>
    <col min="13" max="13" width="11.7109375" style="0" bestFit="1" customWidth="1"/>
    <col min="14" max="14" width="14.421875" style="0" bestFit="1" customWidth="1"/>
    <col min="15" max="15" width="10.7109375" style="0" bestFit="1" customWidth="1"/>
    <col min="16" max="16" width="2.28125" style="0" customWidth="1"/>
  </cols>
  <sheetData>
    <row r="2" spans="9:13" ht="12.75">
      <c r="I2" s="522" t="s">
        <v>271</v>
      </c>
      <c r="J2" s="94"/>
      <c r="K2" s="94"/>
      <c r="L2" s="94"/>
      <c r="M2" s="94"/>
    </row>
    <row r="4" spans="2:6" ht="12.75">
      <c r="B4" s="1"/>
      <c r="C4" s="1"/>
      <c r="D4" s="200"/>
      <c r="E4" s="94" t="s">
        <v>44</v>
      </c>
      <c r="F4" s="1"/>
    </row>
    <row r="5" spans="2:6" ht="12.75">
      <c r="B5" s="1"/>
      <c r="C5" s="1"/>
      <c r="D5" s="200"/>
      <c r="E5" s="94" t="s">
        <v>75</v>
      </c>
      <c r="F5" s="1"/>
    </row>
    <row r="6" ht="12.75">
      <c r="E6" s="2" t="s">
        <v>270</v>
      </c>
    </row>
    <row r="7" ht="12.75">
      <c r="E7" s="101" t="s">
        <v>27</v>
      </c>
    </row>
    <row r="8" spans="2:5" ht="12.75">
      <c r="B8" s="59"/>
      <c r="C8" s="59"/>
      <c r="D8" s="201"/>
      <c r="E8" s="2" t="str">
        <f>+'ES 1.0'!E7</f>
        <v>For the Expense Month of Sample Only</v>
      </c>
    </row>
    <row r="9" spans="11:15" ht="12.75">
      <c r="K9" s="596"/>
      <c r="L9" s="597"/>
      <c r="M9" s="597"/>
      <c r="N9" s="597"/>
      <c r="O9" s="597"/>
    </row>
    <row r="10" ht="13.5" thickBot="1"/>
    <row r="11" spans="2:15" ht="12.75">
      <c r="B11" s="83"/>
      <c r="C11" s="17"/>
      <c r="D11" s="17"/>
      <c r="E11" s="84" t="s">
        <v>100</v>
      </c>
      <c r="F11" s="17"/>
      <c r="G11" s="84">
        <v>-2</v>
      </c>
      <c r="H11" s="17"/>
      <c r="I11" s="85">
        <v>-3</v>
      </c>
      <c r="K11" s="596"/>
      <c r="L11" s="597"/>
      <c r="M11" s="597"/>
      <c r="N11" s="597"/>
      <c r="O11" s="597"/>
    </row>
    <row r="12" spans="2:15" s="60" customFormat="1" ht="39.75" thickBot="1">
      <c r="B12" s="88"/>
      <c r="C12" s="63"/>
      <c r="D12" s="63"/>
      <c r="E12" s="64" t="s">
        <v>99</v>
      </c>
      <c r="F12" s="63"/>
      <c r="G12" s="64" t="s">
        <v>158</v>
      </c>
      <c r="H12" s="63"/>
      <c r="I12" s="65" t="s">
        <v>101</v>
      </c>
      <c r="K12" s="106"/>
      <c r="L12" s="106"/>
      <c r="M12" s="106"/>
      <c r="N12" s="106"/>
      <c r="O12" s="106"/>
    </row>
    <row r="13" spans="2:9" ht="12.75">
      <c r="B13" s="83"/>
      <c r="C13" s="17"/>
      <c r="D13" s="17"/>
      <c r="E13" s="5" t="s">
        <v>27</v>
      </c>
      <c r="F13" s="17"/>
      <c r="G13" s="5"/>
      <c r="H13" s="17"/>
      <c r="I13" s="6"/>
    </row>
    <row r="14" spans="2:15" ht="12.75">
      <c r="B14" s="86" t="s">
        <v>155</v>
      </c>
      <c r="C14" s="19"/>
      <c r="D14" s="19"/>
      <c r="E14" s="132">
        <v>12345</v>
      </c>
      <c r="F14" s="19"/>
      <c r="G14" s="11">
        <v>350000</v>
      </c>
      <c r="H14" s="19"/>
      <c r="I14" s="162">
        <f>G14/E14</f>
        <v>28.35155933576347</v>
      </c>
      <c r="K14" s="32"/>
      <c r="L14" s="61"/>
      <c r="M14" s="76"/>
      <c r="N14" s="61"/>
      <c r="O14" s="108"/>
    </row>
    <row r="15" spans="2:15" ht="12.75">
      <c r="B15" s="86" t="s">
        <v>102</v>
      </c>
      <c r="C15" s="19"/>
      <c r="D15" s="19"/>
      <c r="E15" s="39"/>
      <c r="F15" s="19"/>
      <c r="G15" s="11"/>
      <c r="H15" s="19"/>
      <c r="I15" s="87"/>
      <c r="K15" s="32"/>
      <c r="L15" s="61"/>
      <c r="M15" s="76"/>
      <c r="N15" s="61"/>
      <c r="O15" s="108"/>
    </row>
    <row r="16" spans="2:15" ht="12.75">
      <c r="B16" s="86" t="s">
        <v>103</v>
      </c>
      <c r="C16" s="19"/>
      <c r="D16" s="19"/>
      <c r="E16" s="112">
        <v>0</v>
      </c>
      <c r="F16" s="19"/>
      <c r="G16" s="11">
        <v>0</v>
      </c>
      <c r="H16" s="19"/>
      <c r="I16" s="162">
        <v>0</v>
      </c>
      <c r="K16" s="32"/>
      <c r="L16" s="61"/>
      <c r="M16" s="76"/>
      <c r="N16" s="61"/>
      <c r="O16" s="108"/>
    </row>
    <row r="17" spans="2:15" ht="12.75">
      <c r="B17" s="86" t="s">
        <v>104</v>
      </c>
      <c r="C17" s="19"/>
      <c r="D17" s="19"/>
      <c r="E17" s="112">
        <v>0</v>
      </c>
      <c r="F17" s="19"/>
      <c r="G17" s="11">
        <v>0</v>
      </c>
      <c r="H17" s="19"/>
      <c r="I17" s="162">
        <v>0</v>
      </c>
      <c r="K17" s="32"/>
      <c r="L17" s="61"/>
      <c r="M17" s="76"/>
      <c r="N17" s="61"/>
      <c r="O17" s="108"/>
    </row>
    <row r="18" spans="2:15" ht="12.75">
      <c r="B18" s="86" t="s">
        <v>105</v>
      </c>
      <c r="C18" s="19"/>
      <c r="D18" s="19"/>
      <c r="E18" s="112">
        <v>0</v>
      </c>
      <c r="F18" s="19"/>
      <c r="G18" s="11">
        <v>0</v>
      </c>
      <c r="H18" s="19"/>
      <c r="I18" s="162">
        <v>0</v>
      </c>
      <c r="K18" s="32"/>
      <c r="L18" s="61"/>
      <c r="M18" s="76"/>
      <c r="N18" s="61"/>
      <c r="O18" s="170"/>
    </row>
    <row r="19" spans="2:15" ht="12.75">
      <c r="B19" s="86" t="s">
        <v>106</v>
      </c>
      <c r="C19" s="19"/>
      <c r="D19" s="19"/>
      <c r="E19" s="112">
        <v>0</v>
      </c>
      <c r="F19" s="19"/>
      <c r="G19" s="11">
        <v>0</v>
      </c>
      <c r="H19" s="19"/>
      <c r="I19" s="162">
        <v>0</v>
      </c>
      <c r="K19" s="32"/>
      <c r="L19" s="61"/>
      <c r="M19" s="76"/>
      <c r="N19" s="61"/>
      <c r="O19" s="108"/>
    </row>
    <row r="20" spans="2:15" ht="12.75">
      <c r="B20" s="86" t="s">
        <v>107</v>
      </c>
      <c r="C20" s="19"/>
      <c r="D20" s="19"/>
      <c r="E20" s="112">
        <v>0</v>
      </c>
      <c r="F20" s="19"/>
      <c r="G20" s="115">
        <v>0</v>
      </c>
      <c r="H20" s="171"/>
      <c r="I20" s="172">
        <v>0</v>
      </c>
      <c r="K20" s="32"/>
      <c r="L20" s="61"/>
      <c r="M20" s="76"/>
      <c r="N20" s="61"/>
      <c r="O20" s="108"/>
    </row>
    <row r="21" spans="2:15" ht="26.25">
      <c r="B21" s="164" t="s">
        <v>43</v>
      </c>
      <c r="C21" s="19"/>
      <c r="D21" s="19"/>
      <c r="E21" s="112">
        <v>0</v>
      </c>
      <c r="F21" s="19"/>
      <c r="G21" s="115">
        <v>0</v>
      </c>
      <c r="H21" s="171"/>
      <c r="I21" s="172">
        <v>0</v>
      </c>
      <c r="K21" s="32"/>
      <c r="L21" s="61"/>
      <c r="M21" s="76"/>
      <c r="N21" s="61"/>
      <c r="O21" s="108"/>
    </row>
    <row r="22" spans="2:15" ht="12.75">
      <c r="B22" s="164"/>
      <c r="C22" s="19"/>
      <c r="D22" s="19"/>
      <c r="E22" s="112"/>
      <c r="F22" s="19"/>
      <c r="G22" s="115"/>
      <c r="H22" s="171"/>
      <c r="I22" s="172"/>
      <c r="K22" s="32"/>
      <c r="L22" s="61"/>
      <c r="M22" s="76"/>
      <c r="N22" s="61"/>
      <c r="O22" s="108"/>
    </row>
    <row r="23" spans="2:15" ht="12.75">
      <c r="B23" s="86" t="s">
        <v>108</v>
      </c>
      <c r="C23" s="19"/>
      <c r="D23" s="19"/>
      <c r="E23" s="112"/>
      <c r="F23" s="19"/>
      <c r="G23" s="115"/>
      <c r="H23" s="171"/>
      <c r="I23" s="173"/>
      <c r="K23" s="32"/>
      <c r="L23" s="61"/>
      <c r="M23" s="76"/>
      <c r="N23" s="61"/>
      <c r="O23" s="108"/>
    </row>
    <row r="24" spans="2:15" ht="12.75">
      <c r="B24" s="86" t="s">
        <v>109</v>
      </c>
      <c r="C24" s="19"/>
      <c r="D24" s="19"/>
      <c r="E24" s="112">
        <v>0</v>
      </c>
      <c r="F24" s="19"/>
      <c r="G24" s="115">
        <v>0</v>
      </c>
      <c r="H24" s="171"/>
      <c r="I24" s="172">
        <v>0</v>
      </c>
      <c r="K24" s="32"/>
      <c r="L24" s="61"/>
      <c r="M24" s="76"/>
      <c r="N24" s="61"/>
      <c r="O24" s="108"/>
    </row>
    <row r="25" spans="2:15" ht="12.75">
      <c r="B25" s="86" t="s">
        <v>110</v>
      </c>
      <c r="C25" s="19"/>
      <c r="D25" s="19"/>
      <c r="E25" s="112">
        <v>0</v>
      </c>
      <c r="F25" s="19"/>
      <c r="G25" s="115">
        <v>0</v>
      </c>
      <c r="H25" s="171"/>
      <c r="I25" s="172">
        <v>0</v>
      </c>
      <c r="K25" s="32"/>
      <c r="L25" s="61"/>
      <c r="M25" s="76"/>
      <c r="N25" s="61"/>
      <c r="O25" s="108"/>
    </row>
    <row r="26" spans="2:9" ht="12.75">
      <c r="B26" s="86" t="s">
        <v>111</v>
      </c>
      <c r="C26" s="19"/>
      <c r="D26" s="19"/>
      <c r="E26" s="112">
        <v>0</v>
      </c>
      <c r="F26" s="19"/>
      <c r="G26" s="115">
        <v>0</v>
      </c>
      <c r="H26" s="171"/>
      <c r="I26" s="172">
        <v>0</v>
      </c>
    </row>
    <row r="27" spans="2:9" ht="26.25">
      <c r="B27" s="164" t="s">
        <v>43</v>
      </c>
      <c r="C27" s="19"/>
      <c r="D27" s="19"/>
      <c r="E27" s="112">
        <v>0</v>
      </c>
      <c r="F27" s="19"/>
      <c r="G27" s="115">
        <v>0</v>
      </c>
      <c r="H27" s="171"/>
      <c r="I27" s="172">
        <v>0</v>
      </c>
    </row>
    <row r="28" spans="2:15" ht="6" customHeight="1">
      <c r="B28" s="202"/>
      <c r="C28" s="19"/>
      <c r="D28" s="19"/>
      <c r="E28" s="112"/>
      <c r="F28" s="19"/>
      <c r="G28" s="115"/>
      <c r="H28" s="171"/>
      <c r="I28" s="172"/>
      <c r="K28" s="101"/>
      <c r="L28" s="102"/>
      <c r="M28" s="104"/>
      <c r="N28" s="102"/>
      <c r="O28" s="109"/>
    </row>
    <row r="29" spans="2:13" ht="23.25">
      <c r="B29" s="202" t="s">
        <v>282</v>
      </c>
      <c r="C29" s="19"/>
      <c r="D29" s="19"/>
      <c r="E29" s="254">
        <v>1234</v>
      </c>
      <c r="F29" s="255"/>
      <c r="G29" s="256">
        <f>N64+N65</f>
        <v>23747.09896033885</v>
      </c>
      <c r="H29" s="257"/>
      <c r="I29" s="263">
        <f>G29/E29</f>
        <v>19.244002398978</v>
      </c>
      <c r="L29" s="207"/>
      <c r="M29" s="106"/>
    </row>
    <row r="30" spans="2:9" ht="6" customHeight="1">
      <c r="B30" s="202"/>
      <c r="C30" s="19"/>
      <c r="D30" s="19"/>
      <c r="E30" s="198"/>
      <c r="F30" s="19"/>
      <c r="G30" s="93"/>
      <c r="H30" s="171"/>
      <c r="I30" s="172"/>
    </row>
    <row r="31" spans="2:14" ht="39.75" thickBot="1">
      <c r="B31" s="119" t="s">
        <v>42</v>
      </c>
      <c r="C31" s="20"/>
      <c r="D31" s="20"/>
      <c r="E31" s="253">
        <f>E14-E29+E16</f>
        <v>11111</v>
      </c>
      <c r="F31" s="20"/>
      <c r="G31" s="253">
        <f>G14-G29</f>
        <v>326252.90103966114</v>
      </c>
      <c r="H31" s="20"/>
      <c r="I31" s="172">
        <f>G31/E31</f>
        <v>29.363054724116743</v>
      </c>
      <c r="L31" s="592"/>
      <c r="M31" s="593"/>
      <c r="N31" s="106"/>
    </row>
    <row r="32" spans="2:14" ht="12.75">
      <c r="B32" s="5"/>
      <c r="C32" s="5"/>
      <c r="D32" s="194"/>
      <c r="E32" s="5"/>
      <c r="F32" s="5"/>
      <c r="G32" s="5"/>
      <c r="H32" s="5"/>
      <c r="I32" s="231"/>
      <c r="K32" s="101"/>
      <c r="L32" s="118"/>
      <c r="M32" s="118"/>
      <c r="N32" s="206"/>
    </row>
    <row r="33" spans="2:11" ht="12.75">
      <c r="B33" s="10"/>
      <c r="C33" s="10"/>
      <c r="D33" s="62"/>
      <c r="E33" s="10"/>
      <c r="F33" s="10"/>
      <c r="G33" s="10"/>
      <c r="H33" s="10"/>
      <c r="I33" s="230"/>
      <c r="J33" s="10"/>
      <c r="K33" s="100"/>
    </row>
    <row r="34" spans="2:14" ht="12.75">
      <c r="B34" s="10"/>
      <c r="C34" s="10"/>
      <c r="D34" s="62"/>
      <c r="E34" s="10"/>
      <c r="F34" s="10"/>
      <c r="G34" s="10"/>
      <c r="H34" s="10"/>
      <c r="I34" s="10"/>
      <c r="J34" s="10"/>
      <c r="L34" s="61"/>
      <c r="M34" s="76"/>
      <c r="N34" s="158"/>
    </row>
    <row r="35" ht="12.75">
      <c r="N35" s="158"/>
    </row>
    <row r="36" spans="2:14" ht="12.75">
      <c r="B36" s="100"/>
      <c r="N36" s="158"/>
    </row>
    <row r="37" ht="12.75">
      <c r="N37" s="165"/>
    </row>
    <row r="38" spans="2:9" ht="12.75">
      <c r="B38" s="33"/>
      <c r="I38" s="61"/>
    </row>
    <row r="39" spans="9:14" ht="12.75">
      <c r="I39" s="76"/>
      <c r="N39" s="158"/>
    </row>
    <row r="40" ht="12.75">
      <c r="N40" s="158"/>
    </row>
    <row r="42" spans="2:14" ht="12.75">
      <c r="B42" s="100"/>
      <c r="N42" s="165"/>
    </row>
    <row r="45" spans="14:15" ht="12.75">
      <c r="N45" s="166"/>
      <c r="O45" s="101"/>
    </row>
    <row r="48" spans="13:14" ht="12.75">
      <c r="M48" s="75"/>
      <c r="N48" s="158"/>
    </row>
    <row r="49" spans="2:14" ht="12.75">
      <c r="B49" s="100"/>
      <c r="M49" s="175"/>
      <c r="N49" s="158"/>
    </row>
    <row r="51" ht="12.75">
      <c r="N51" s="175"/>
    </row>
    <row r="59" spans="11:15" ht="12.75">
      <c r="K59" s="596" t="s">
        <v>250</v>
      </c>
      <c r="L59" s="597"/>
      <c r="M59" s="597"/>
      <c r="N59" s="597"/>
      <c r="O59" s="597"/>
    </row>
    <row r="60" ht="12.75">
      <c r="M60" t="str">
        <f>E8</f>
        <v>For the Expense Month of Sample Only</v>
      </c>
    </row>
    <row r="62" spans="11:15" ht="52.5">
      <c r="K62" s="106" t="s">
        <v>150</v>
      </c>
      <c r="L62" s="106" t="s">
        <v>144</v>
      </c>
      <c r="M62" s="106" t="s">
        <v>145</v>
      </c>
      <c r="N62" s="106" t="s">
        <v>147</v>
      </c>
      <c r="O62" s="106" t="s">
        <v>148</v>
      </c>
    </row>
    <row r="64" spans="11:15" ht="12.75">
      <c r="K64" s="61" t="s">
        <v>142</v>
      </c>
      <c r="L64" s="61">
        <v>123</v>
      </c>
      <c r="M64" s="225">
        <f>L64/$L$67</f>
        <v>0.047362341162880246</v>
      </c>
      <c r="N64" s="226">
        <f>M64*$N$70</f>
        <v>11873.549480169426</v>
      </c>
      <c r="O64" s="61">
        <f>M64*$N$71</f>
        <v>125.69965344628417</v>
      </c>
    </row>
    <row r="65" spans="11:15" ht="12.75">
      <c r="K65" s="243" t="s">
        <v>143</v>
      </c>
      <c r="L65" s="243">
        <v>123</v>
      </c>
      <c r="M65" s="244">
        <f>L65/$L$67</f>
        <v>0.047362341162880246</v>
      </c>
      <c r="N65" s="245">
        <f>M65*$N$70</f>
        <v>11873.549480169426</v>
      </c>
      <c r="O65" s="243">
        <f>M65*$N$71</f>
        <v>125.69965344628417</v>
      </c>
    </row>
    <row r="66" spans="11:15" ht="12.75">
      <c r="K66" s="243" t="s">
        <v>48</v>
      </c>
      <c r="L66" s="243">
        <v>2351</v>
      </c>
      <c r="M66" s="244">
        <f>L66/$L$67</f>
        <v>0.9052753176742395</v>
      </c>
      <c r="N66" s="245">
        <f>M66*$N$70</f>
        <v>226948.90103966114</v>
      </c>
      <c r="O66" s="243">
        <f>M66*$N$71</f>
        <v>2402.6006931074317</v>
      </c>
    </row>
    <row r="67" spans="11:15" ht="12.75">
      <c r="K67" s="102" t="s">
        <v>126</v>
      </c>
      <c r="L67" s="102">
        <f>SUM(L64:L66)</f>
        <v>2597</v>
      </c>
      <c r="M67" s="227">
        <f>SUM(M64:M66)</f>
        <v>1</v>
      </c>
      <c r="N67" s="228">
        <f>M67*$N$70</f>
        <v>250696</v>
      </c>
      <c r="O67" s="102">
        <f>SUM(O64:O66)</f>
        <v>2654</v>
      </c>
    </row>
    <row r="68" spans="11:15" ht="12.75">
      <c r="K68" s="102"/>
      <c r="L68" s="102"/>
      <c r="M68" s="102"/>
      <c r="N68" s="100"/>
      <c r="O68" s="61"/>
    </row>
    <row r="69" spans="11:15" ht="12.75">
      <c r="K69" s="102"/>
      <c r="L69" s="102"/>
      <c r="M69" s="102"/>
      <c r="N69" s="100"/>
      <c r="O69" s="61"/>
    </row>
    <row r="70" spans="11:15" ht="12.75">
      <c r="K70" s="102" t="s">
        <v>146</v>
      </c>
      <c r="L70" s="102"/>
      <c r="M70" s="102"/>
      <c r="N70" s="236">
        <v>250696</v>
      </c>
      <c r="O70" s="61"/>
    </row>
    <row r="71" spans="11:15" ht="12.75">
      <c r="K71" s="102" t="s">
        <v>149</v>
      </c>
      <c r="L71" s="61"/>
      <c r="M71" s="61"/>
      <c r="N71" s="237">
        <v>2654</v>
      </c>
      <c r="O71" s="61"/>
    </row>
    <row r="72" spans="11:15" ht="12.75">
      <c r="K72" s="61"/>
      <c r="L72" s="61"/>
      <c r="M72" s="61"/>
      <c r="N72" s="163" t="s">
        <v>27</v>
      </c>
      <c r="O72" s="61"/>
    </row>
  </sheetData>
  <sheetProtection/>
  <mergeCells count="4">
    <mergeCell ref="K9:O9"/>
    <mergeCell ref="K11:O11"/>
    <mergeCell ref="L31:M31"/>
    <mergeCell ref="K59:O59"/>
  </mergeCells>
  <printOptions horizontalCentered="1"/>
  <pageMargins left="0" right="0" top="0.5" bottom="0.5" header="0" footer="0"/>
  <pageSetup horizontalDpi="300" verticalDpi="300" orientation="portrait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73"/>
  <sheetViews>
    <sheetView view="pageBreakPreview" zoomScale="60" zoomScalePageLayoutView="0" workbookViewId="0" topLeftCell="A1">
      <selection activeCell="B37" sqref="B37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0.5625" style="0" customWidth="1"/>
    <col min="4" max="4" width="12.7109375" style="0" customWidth="1"/>
    <col min="5" max="5" width="0.5625" style="0" customWidth="1"/>
    <col min="6" max="6" width="12.7109375" style="0" customWidth="1"/>
    <col min="7" max="7" width="0.5625" style="0" customWidth="1"/>
    <col min="8" max="8" width="12.7109375" style="0" customWidth="1"/>
    <col min="9" max="9" width="3.7109375" style="0" customWidth="1"/>
    <col min="10" max="10" width="14.8515625" style="0" bestFit="1" customWidth="1"/>
    <col min="11" max="11" width="12.28125" style="0" customWidth="1"/>
    <col min="12" max="12" width="11.00390625" style="0" customWidth="1"/>
    <col min="13" max="13" width="11.7109375" style="0" customWidth="1"/>
    <col min="14" max="14" width="13.421875" style="0" customWidth="1"/>
    <col min="15" max="15" width="12.7109375" style="0" customWidth="1"/>
    <col min="16" max="16" width="10.7109375" style="0" bestFit="1" customWidth="1"/>
    <col min="17" max="17" width="11.7109375" style="0" bestFit="1" customWidth="1"/>
  </cols>
  <sheetData>
    <row r="1" ht="12.75">
      <c r="A1" t="s">
        <v>27</v>
      </c>
    </row>
    <row r="2" spans="4:9" ht="12.75">
      <c r="D2" s="598" t="s">
        <v>159</v>
      </c>
      <c r="E2" s="598"/>
      <c r="F2" s="598"/>
      <c r="G2" s="598"/>
      <c r="H2" s="598"/>
      <c r="I2" s="161"/>
    </row>
    <row r="4" spans="2:5" ht="12.75">
      <c r="B4" s="1"/>
      <c r="C4" s="1"/>
      <c r="D4" s="94" t="s">
        <v>44</v>
      </c>
      <c r="E4" s="1"/>
    </row>
    <row r="5" spans="2:5" ht="12.75">
      <c r="B5" s="1"/>
      <c r="C5" s="1"/>
      <c r="D5" s="94" t="s">
        <v>75</v>
      </c>
      <c r="E5" s="1"/>
    </row>
    <row r="6" ht="12.75">
      <c r="D6" s="99" t="s">
        <v>315</v>
      </c>
    </row>
    <row r="7" spans="2:4" ht="12.75">
      <c r="B7" s="59"/>
      <c r="C7" s="59"/>
      <c r="D7" s="2" t="str">
        <f>+'ES 1.0'!E7</f>
        <v>For the Expense Month of Sample Only</v>
      </c>
    </row>
    <row r="8" ht="12.75">
      <c r="L8" s="107"/>
    </row>
    <row r="9" ht="13.5" thickBot="1"/>
    <row r="10" spans="2:16" ht="12.75">
      <c r="B10" s="83"/>
      <c r="C10" s="17"/>
      <c r="D10" s="84" t="s">
        <v>100</v>
      </c>
      <c r="E10" s="17"/>
      <c r="F10" s="84">
        <v>-2</v>
      </c>
      <c r="G10" s="17"/>
      <c r="H10" s="85">
        <v>-3</v>
      </c>
      <c r="J10" s="2"/>
      <c r="K10" s="107"/>
      <c r="P10" s="110"/>
    </row>
    <row r="11" spans="2:18" s="60" customFormat="1" ht="39.75" thickBot="1">
      <c r="B11" s="88"/>
      <c r="C11" s="63"/>
      <c r="D11" s="64" t="s">
        <v>99</v>
      </c>
      <c r="E11" s="63"/>
      <c r="F11" s="64" t="s">
        <v>157</v>
      </c>
      <c r="G11" s="63"/>
      <c r="H11" s="65" t="s">
        <v>101</v>
      </c>
      <c r="J11" s="106"/>
      <c r="P11" s="106"/>
      <c r="Q11" s="106"/>
      <c r="R11" s="106"/>
    </row>
    <row r="12" spans="2:8" ht="12.75">
      <c r="B12" s="83"/>
      <c r="C12" s="17"/>
      <c r="D12" s="5"/>
      <c r="E12" s="17"/>
      <c r="F12" s="5"/>
      <c r="G12" s="17"/>
      <c r="H12" s="90"/>
    </row>
    <row r="13" spans="2:18" ht="12.75">
      <c r="B13" s="86" t="s">
        <v>155</v>
      </c>
      <c r="C13" s="19"/>
      <c r="D13" s="39">
        <v>100000</v>
      </c>
      <c r="E13" s="19"/>
      <c r="F13" s="11">
        <v>0</v>
      </c>
      <c r="G13" s="19"/>
      <c r="H13" s="258">
        <f>F13/D13</f>
        <v>0</v>
      </c>
      <c r="J13" s="32"/>
      <c r="P13" s="76"/>
      <c r="Q13" s="61"/>
      <c r="R13" s="108"/>
    </row>
    <row r="14" spans="2:18" ht="12.75">
      <c r="B14" s="86" t="s">
        <v>102</v>
      </c>
      <c r="C14" s="19"/>
      <c r="D14" s="39"/>
      <c r="E14" s="19"/>
      <c r="F14" s="11"/>
      <c r="G14" s="19"/>
      <c r="H14" s="258"/>
      <c r="J14" s="32"/>
      <c r="P14" s="76"/>
      <c r="Q14" s="61"/>
      <c r="R14" s="108"/>
    </row>
    <row r="15" spans="2:18" ht="12.75">
      <c r="B15" s="86" t="s">
        <v>103</v>
      </c>
      <c r="C15" s="19"/>
      <c r="D15" s="112">
        <v>4</v>
      </c>
      <c r="E15" s="19"/>
      <c r="F15" s="11">
        <v>0</v>
      </c>
      <c r="G15" s="19"/>
      <c r="H15" s="258"/>
      <c r="J15" s="32"/>
      <c r="P15" s="76"/>
      <c r="Q15" s="61"/>
      <c r="R15" s="108"/>
    </row>
    <row r="16" spans="2:18" ht="12.75">
      <c r="B16" s="86" t="s">
        <v>139</v>
      </c>
      <c r="C16" s="19"/>
      <c r="D16" s="199">
        <v>0</v>
      </c>
      <c r="E16" s="19"/>
      <c r="F16" s="11"/>
      <c r="G16" s="19"/>
      <c r="H16" s="258"/>
      <c r="J16" s="32"/>
      <c r="P16" s="76"/>
      <c r="Q16" s="61"/>
      <c r="R16" s="108"/>
    </row>
    <row r="17" spans="2:18" ht="12.75">
      <c r="B17" s="86" t="s">
        <v>106</v>
      </c>
      <c r="C17" s="19"/>
      <c r="D17" s="199">
        <v>0</v>
      </c>
      <c r="E17" s="19"/>
      <c r="F17" s="11">
        <v>0</v>
      </c>
      <c r="G17" s="19"/>
      <c r="H17" s="258" t="s">
        <v>27</v>
      </c>
      <c r="J17" s="32"/>
      <c r="P17" s="76"/>
      <c r="Q17" s="61"/>
      <c r="R17" s="108"/>
    </row>
    <row r="18" spans="2:18" ht="12.75">
      <c r="B18" s="86" t="s">
        <v>107</v>
      </c>
      <c r="C18" s="19"/>
      <c r="D18" s="199">
        <v>0</v>
      </c>
      <c r="E18" s="19"/>
      <c r="F18" s="93">
        <v>0</v>
      </c>
      <c r="G18" s="19"/>
      <c r="H18" s="258" t="s">
        <v>27</v>
      </c>
      <c r="J18" s="32"/>
      <c r="P18" s="76"/>
      <c r="Q18" s="61"/>
      <c r="R18" s="108"/>
    </row>
    <row r="19" spans="2:18" ht="12.75">
      <c r="B19" s="86"/>
      <c r="C19" s="19"/>
      <c r="D19" s="199"/>
      <c r="E19" s="19"/>
      <c r="F19" s="93"/>
      <c r="G19" s="19"/>
      <c r="H19" s="258" t="s">
        <v>27</v>
      </c>
      <c r="J19" s="32"/>
      <c r="P19" s="76"/>
      <c r="Q19" s="61"/>
      <c r="R19" s="108"/>
    </row>
    <row r="20" spans="2:18" ht="12.75">
      <c r="B20" s="86" t="s">
        <v>108</v>
      </c>
      <c r="C20" s="19"/>
      <c r="D20" s="199"/>
      <c r="E20" s="19"/>
      <c r="F20" s="11"/>
      <c r="G20" s="19"/>
      <c r="H20" s="258"/>
      <c r="J20" s="32"/>
      <c r="P20" s="76"/>
      <c r="Q20" s="61"/>
      <c r="R20" s="108"/>
    </row>
    <row r="21" spans="2:18" ht="12.75">
      <c r="B21" s="86" t="s">
        <v>109</v>
      </c>
      <c r="C21" s="19"/>
      <c r="D21" s="199">
        <v>0</v>
      </c>
      <c r="E21" s="19"/>
      <c r="F21" s="11">
        <v>0</v>
      </c>
      <c r="G21" s="19"/>
      <c r="H21" s="258" t="s">
        <v>27</v>
      </c>
      <c r="J21" s="32"/>
      <c r="P21" s="76"/>
      <c r="Q21" s="61"/>
      <c r="R21" s="108"/>
    </row>
    <row r="22" spans="2:18" ht="12.75">
      <c r="B22" s="86" t="s">
        <v>110</v>
      </c>
      <c r="C22" s="19"/>
      <c r="D22" s="199">
        <v>0</v>
      </c>
      <c r="E22" s="19"/>
      <c r="F22" s="93">
        <v>0</v>
      </c>
      <c r="G22" s="19"/>
      <c r="H22" s="258" t="s">
        <v>27</v>
      </c>
      <c r="J22" s="32"/>
      <c r="K22" s="61"/>
      <c r="L22" s="61"/>
      <c r="M22" s="61"/>
      <c r="O22" s="160" t="s">
        <v>27</v>
      </c>
      <c r="P22" s="76"/>
      <c r="Q22" s="61"/>
      <c r="R22" s="108"/>
    </row>
    <row r="23" spans="2:18" ht="12.75">
      <c r="B23" s="86" t="s">
        <v>111</v>
      </c>
      <c r="C23" s="19"/>
      <c r="D23" s="199">
        <v>0</v>
      </c>
      <c r="E23" s="19"/>
      <c r="F23" s="93">
        <v>0</v>
      </c>
      <c r="G23" s="19"/>
      <c r="H23" s="258" t="s">
        <v>27</v>
      </c>
      <c r="J23" s="32"/>
      <c r="K23" s="61"/>
      <c r="L23" s="61"/>
      <c r="M23" s="61"/>
      <c r="O23" s="61"/>
      <c r="P23" s="76"/>
      <c r="Q23" s="61"/>
      <c r="R23" s="108"/>
    </row>
    <row r="24" spans="2:18" ht="12.75">
      <c r="B24" s="88" t="s">
        <v>40</v>
      </c>
      <c r="C24" s="19"/>
      <c r="D24" s="199">
        <v>0</v>
      </c>
      <c r="E24" s="19"/>
      <c r="F24" s="93">
        <v>0</v>
      </c>
      <c r="G24" s="19"/>
      <c r="H24" s="258" t="s">
        <v>27</v>
      </c>
      <c r="J24" s="32"/>
      <c r="K24" s="61"/>
      <c r="L24" s="61"/>
      <c r="M24" s="61"/>
      <c r="O24" s="61"/>
      <c r="P24" s="76"/>
      <c r="Q24" s="61"/>
      <c r="R24" s="108"/>
    </row>
    <row r="25" spans="2:18" ht="13.5" thickBot="1">
      <c r="B25" s="88" t="s">
        <v>140</v>
      </c>
      <c r="C25" s="19"/>
      <c r="D25" s="216">
        <f>N40+N41</f>
        <v>11.70817120622568</v>
      </c>
      <c r="E25" s="19"/>
      <c r="F25" s="247">
        <f>M40+M41</f>
        <v>0</v>
      </c>
      <c r="G25" s="19"/>
      <c r="H25" s="258">
        <f>F25/D25</f>
        <v>0</v>
      </c>
      <c r="J25" s="32"/>
      <c r="K25" s="61"/>
      <c r="L25" s="61"/>
      <c r="M25" s="61"/>
      <c r="O25" s="61"/>
      <c r="P25" s="76"/>
      <c r="Q25" s="61"/>
      <c r="R25" s="108"/>
    </row>
    <row r="26" spans="1:18" ht="30" customHeight="1" thickBot="1">
      <c r="A26" s="10"/>
      <c r="B26" s="152" t="s">
        <v>8</v>
      </c>
      <c r="C26" s="91"/>
      <c r="D26" s="252">
        <f>D13-D25+D15</f>
        <v>99992.29182879378</v>
      </c>
      <c r="E26" s="91"/>
      <c r="F26" s="252">
        <f>F13-F25</f>
        <v>0</v>
      </c>
      <c r="G26" s="91"/>
      <c r="H26" s="262">
        <f>F26/D26</f>
        <v>0</v>
      </c>
      <c r="K26" s="61"/>
      <c r="L26" s="61"/>
      <c r="M26" s="61"/>
      <c r="O26" s="61"/>
      <c r="Q26" s="61"/>
      <c r="R26" s="108"/>
    </row>
    <row r="27" spans="2:18" ht="12.75">
      <c r="B27" s="10"/>
      <c r="C27" s="10"/>
      <c r="D27" s="10"/>
      <c r="E27" s="10"/>
      <c r="F27" s="10"/>
      <c r="G27" s="10"/>
      <c r="H27" s="10"/>
      <c r="J27" s="101"/>
      <c r="K27" s="102"/>
      <c r="L27" s="102"/>
      <c r="M27" s="102"/>
      <c r="O27" s="102"/>
      <c r="P27" s="104"/>
      <c r="Q27" s="102"/>
      <c r="R27" s="109"/>
    </row>
    <row r="28" spans="2:8" ht="12.75">
      <c r="B28" s="10"/>
      <c r="C28" s="10"/>
      <c r="D28" s="10"/>
      <c r="E28" s="10"/>
      <c r="F28" s="10"/>
      <c r="G28" s="10"/>
      <c r="H28" s="151"/>
    </row>
    <row r="29" spans="2:10" ht="12.75">
      <c r="B29" s="10"/>
      <c r="C29" s="10"/>
      <c r="D29" s="10"/>
      <c r="E29" s="10"/>
      <c r="F29" s="10"/>
      <c r="G29" s="10"/>
      <c r="H29" s="10"/>
      <c r="J29" s="100"/>
    </row>
    <row r="31" ht="12.75">
      <c r="B31" s="100"/>
    </row>
    <row r="33" ht="12.75">
      <c r="B33" s="33"/>
    </row>
    <row r="34" spans="10:14" ht="12.75">
      <c r="J34" s="596" t="s">
        <v>153</v>
      </c>
      <c r="K34" s="597"/>
      <c r="L34" s="597"/>
      <c r="M34" s="597"/>
      <c r="N34" s="597"/>
    </row>
    <row r="35" ht="12.75">
      <c r="L35" t="str">
        <f>'ES 3.11 A'!M62</f>
        <v>For the Expense Month of Sample Only</v>
      </c>
    </row>
    <row r="37" spans="2:10" ht="12.75">
      <c r="B37" s="100"/>
      <c r="J37" s="110"/>
    </row>
    <row r="38" spans="10:14" ht="52.5">
      <c r="J38" s="106" t="s">
        <v>150</v>
      </c>
      <c r="K38" s="106" t="s">
        <v>144</v>
      </c>
      <c r="L38" s="106" t="s">
        <v>145</v>
      </c>
      <c r="M38" s="106" t="s">
        <v>147</v>
      </c>
      <c r="N38" s="106" t="s">
        <v>148</v>
      </c>
    </row>
    <row r="40" spans="10:14" ht="12.75">
      <c r="J40" s="234" t="s">
        <v>142</v>
      </c>
      <c r="K40" s="234">
        <v>182</v>
      </c>
      <c r="L40" s="235">
        <f>K40/$K$43</f>
        <v>0.3540856031128405</v>
      </c>
      <c r="M40" s="239">
        <v>0</v>
      </c>
      <c r="N40" s="234">
        <f>L40*$N$47</f>
        <v>6.019455252918288</v>
      </c>
    </row>
    <row r="41" spans="10:14" ht="12.75">
      <c r="J41" s="234" t="s">
        <v>143</v>
      </c>
      <c r="K41" s="234">
        <v>172</v>
      </c>
      <c r="L41" s="235">
        <f>K41/$K$43</f>
        <v>0.3346303501945525</v>
      </c>
      <c r="M41" s="239">
        <v>0</v>
      </c>
      <c r="N41" s="234">
        <f>L41*$N$47</f>
        <v>5.688715953307392</v>
      </c>
    </row>
    <row r="42" spans="10:14" ht="12.75">
      <c r="J42" s="234" t="s">
        <v>48</v>
      </c>
      <c r="K42" s="234">
        <v>160</v>
      </c>
      <c r="L42" s="235">
        <f>K42/$K$43</f>
        <v>0.311284046692607</v>
      </c>
      <c r="M42" s="239">
        <v>0</v>
      </c>
      <c r="N42" s="234">
        <f>L42*$N$47</f>
        <v>5.291828793774319</v>
      </c>
    </row>
    <row r="43" spans="10:14" ht="12.75">
      <c r="J43" s="102" t="s">
        <v>126</v>
      </c>
      <c r="K43" s="102">
        <f>SUM(K40:K42)</f>
        <v>514</v>
      </c>
      <c r="L43" s="227">
        <f>SUM(L40:L42)</f>
        <v>1</v>
      </c>
      <c r="M43" s="232">
        <f>SUM(M40:M42)</f>
        <v>0</v>
      </c>
      <c r="N43" s="102">
        <f>SUM(N40:N42)</f>
        <v>17</v>
      </c>
    </row>
    <row r="44" spans="2:14" ht="12.75">
      <c r="B44" s="100"/>
      <c r="J44" s="102"/>
      <c r="K44" s="102"/>
      <c r="L44" s="102"/>
      <c r="M44" s="100"/>
      <c r="N44" s="61"/>
    </row>
    <row r="45" spans="10:14" ht="12.75">
      <c r="J45" s="102"/>
      <c r="K45" s="102"/>
      <c r="L45" s="102"/>
      <c r="M45" s="100"/>
      <c r="N45" s="238"/>
    </row>
    <row r="46" spans="10:14" ht="12.75">
      <c r="J46" s="102" t="s">
        <v>154</v>
      </c>
      <c r="K46" s="102"/>
      <c r="L46" s="102"/>
      <c r="M46" s="228"/>
      <c r="N46" s="246">
        <f>132+28</f>
        <v>160</v>
      </c>
    </row>
    <row r="47" spans="10:14" ht="12.75">
      <c r="J47" s="102" t="s">
        <v>149</v>
      </c>
      <c r="K47" s="61"/>
      <c r="L47" s="61"/>
      <c r="M47" s="229"/>
      <c r="N47" s="238">
        <v>17</v>
      </c>
    </row>
    <row r="50" spans="2:6" ht="12.75">
      <c r="B50" s="105"/>
      <c r="C50" s="121"/>
      <c r="D50" s="121"/>
      <c r="E50" s="121"/>
      <c r="F50" s="121"/>
    </row>
    <row r="51" spans="2:6" ht="12.75">
      <c r="B51" s="121"/>
      <c r="C51" s="121"/>
      <c r="D51" s="121"/>
      <c r="E51" s="121"/>
      <c r="F51" s="121"/>
    </row>
    <row r="55" ht="12.75">
      <c r="B55" s="168"/>
    </row>
    <row r="56" ht="12.75">
      <c r="B56" s="168"/>
    </row>
    <row r="57" ht="12.75">
      <c r="B57" s="168"/>
    </row>
    <row r="58" ht="12.75">
      <c r="B58" s="2"/>
    </row>
    <row r="73" ht="12.75">
      <c r="O73" s="240"/>
    </row>
  </sheetData>
  <sheetProtection/>
  <mergeCells count="2">
    <mergeCell ref="J34:N34"/>
    <mergeCell ref="D2:H2"/>
  </mergeCells>
  <printOptions horizontalCentered="1" verticalCentered="1"/>
  <pageMargins left="0" right="0" top="0.5" bottom="0.5" header="0" footer="0"/>
  <pageSetup horizontalDpi="300" verticalDpi="300" orientation="portrait" scale="87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V73"/>
  <sheetViews>
    <sheetView view="pageBreakPreview" zoomScale="60" zoomScalePageLayoutView="0" workbookViewId="0" topLeftCell="A1">
      <selection activeCell="T23" sqref="T23"/>
    </sheetView>
  </sheetViews>
  <sheetFormatPr defaultColWidth="8.7109375" defaultRowHeight="12.75"/>
  <cols>
    <col min="1" max="1" width="3.7109375" style="0" customWidth="1"/>
    <col min="2" max="2" width="40.7109375" style="0" customWidth="1"/>
    <col min="3" max="3" width="0.5625" style="0" customWidth="1"/>
    <col min="4" max="4" width="12.7109375" style="0" customWidth="1"/>
    <col min="5" max="5" width="0.5625" style="0" customWidth="1"/>
    <col min="6" max="6" width="12.7109375" style="0" customWidth="1"/>
    <col min="7" max="7" width="0.5625" style="0" customWidth="1"/>
    <col min="8" max="8" width="12.7109375" style="0" customWidth="1"/>
    <col min="9" max="9" width="6.7109375" style="0" customWidth="1"/>
    <col min="10" max="10" width="2.28125" style="0" customWidth="1"/>
    <col min="11" max="11" width="8.57421875" style="0" bestFit="1" customWidth="1"/>
    <col min="12" max="12" width="9.140625" style="0" customWidth="1"/>
    <col min="13" max="13" width="2.28125" style="0" customWidth="1"/>
    <col min="14" max="14" width="10.7109375" style="0" customWidth="1"/>
    <col min="15" max="15" width="2.28125" style="0" customWidth="1"/>
    <col min="16" max="16" width="11.7109375" style="0" bestFit="1" customWidth="1"/>
    <col min="17" max="17" width="2.28125" style="0" customWidth="1"/>
    <col min="18" max="18" width="9.7109375" style="0" customWidth="1"/>
    <col min="19" max="19" width="8.7109375" style="0" customWidth="1"/>
    <col min="20" max="20" width="11.140625" style="0" customWidth="1"/>
    <col min="21" max="21" width="10.00390625" style="0" customWidth="1"/>
    <col min="22" max="22" width="11.140625" style="0" customWidth="1"/>
  </cols>
  <sheetData>
    <row r="1" ht="12.75">
      <c r="A1" t="s">
        <v>27</v>
      </c>
    </row>
    <row r="2" spans="6:11" ht="12.75">
      <c r="F2" s="598" t="s">
        <v>49</v>
      </c>
      <c r="G2" s="598"/>
      <c r="H2" s="598"/>
      <c r="I2" s="169"/>
      <c r="J2" s="169"/>
      <c r="K2" s="169"/>
    </row>
    <row r="4" spans="2:5" ht="12.75">
      <c r="B4" s="1"/>
      <c r="C4" s="1"/>
      <c r="D4" s="94" t="s">
        <v>44</v>
      </c>
      <c r="E4" s="1"/>
    </row>
    <row r="5" spans="2:5" ht="12.75">
      <c r="B5" s="1"/>
      <c r="C5" s="1"/>
      <c r="D5" s="94" t="s">
        <v>75</v>
      </c>
      <c r="E5" s="1"/>
    </row>
    <row r="6" ht="12.75">
      <c r="D6" s="99" t="s">
        <v>316</v>
      </c>
    </row>
    <row r="7" spans="2:22" ht="12.75">
      <c r="B7" s="59"/>
      <c r="C7" s="59"/>
      <c r="D7" s="2" t="str">
        <f>+'ES 1.0'!E7</f>
        <v>For the Expense Month of Sample Only</v>
      </c>
      <c r="R7" s="596" t="s">
        <v>152</v>
      </c>
      <c r="S7" s="597"/>
      <c r="T7" s="597"/>
      <c r="U7" s="597"/>
      <c r="V7" s="597"/>
    </row>
    <row r="8" spans="13:20" ht="12.75">
      <c r="M8" s="107"/>
      <c r="T8" t="str">
        <f>'ES 3.12 A'!L35</f>
        <v>For the Expense Month of Sample Only</v>
      </c>
    </row>
    <row r="9" ht="13.5" thickBot="1"/>
    <row r="10" spans="2:18" ht="12.75">
      <c r="B10" s="83"/>
      <c r="C10" s="17"/>
      <c r="D10" s="84" t="s">
        <v>100</v>
      </c>
      <c r="E10" s="17"/>
      <c r="F10" s="84">
        <v>-2</v>
      </c>
      <c r="G10" s="17"/>
      <c r="H10" s="85">
        <v>-3</v>
      </c>
      <c r="K10" s="2"/>
      <c r="L10" s="2"/>
      <c r="R10" s="110"/>
    </row>
    <row r="11" spans="2:22" s="60" customFormat="1" ht="53.25" thickBot="1">
      <c r="B11" s="88"/>
      <c r="C11" s="63"/>
      <c r="D11" s="64" t="s">
        <v>99</v>
      </c>
      <c r="E11" s="63"/>
      <c r="F11" s="64" t="s">
        <v>156</v>
      </c>
      <c r="G11" s="63"/>
      <c r="H11" s="65" t="s">
        <v>101</v>
      </c>
      <c r="K11" s="592"/>
      <c r="L11" s="592"/>
      <c r="M11" s="106"/>
      <c r="N11" s="106"/>
      <c r="O11" s="106"/>
      <c r="P11" s="106" t="s">
        <v>47</v>
      </c>
      <c r="Q11" s="106"/>
      <c r="R11" s="106" t="s">
        <v>150</v>
      </c>
      <c r="S11" s="106" t="s">
        <v>144</v>
      </c>
      <c r="T11" s="106" t="s">
        <v>145</v>
      </c>
      <c r="U11" s="106" t="s">
        <v>147</v>
      </c>
      <c r="V11" s="106" t="s">
        <v>148</v>
      </c>
    </row>
    <row r="12" spans="2:16" ht="12.75">
      <c r="B12" s="83"/>
      <c r="C12" s="17"/>
      <c r="D12" s="5"/>
      <c r="E12" s="17"/>
      <c r="F12" s="5"/>
      <c r="G12" s="17"/>
      <c r="H12" s="126"/>
      <c r="K12" s="118"/>
      <c r="L12" s="118"/>
      <c r="N12" s="206"/>
      <c r="O12" s="206"/>
      <c r="P12" s="206"/>
    </row>
    <row r="13" spans="2:22" ht="12.75">
      <c r="B13" s="249" t="s">
        <v>155</v>
      </c>
      <c r="C13" s="19"/>
      <c r="D13" s="39">
        <v>7758</v>
      </c>
      <c r="E13" s="19"/>
      <c r="F13" s="11">
        <v>123453</v>
      </c>
      <c r="G13" s="19"/>
      <c r="H13" s="260">
        <f>F13/D13</f>
        <v>15.912993039443155</v>
      </c>
      <c r="K13" s="203"/>
      <c r="L13" s="204"/>
      <c r="M13" s="61"/>
      <c r="N13" s="61"/>
      <c r="O13" s="61"/>
      <c r="Q13" s="61"/>
      <c r="R13" s="234" t="s">
        <v>142</v>
      </c>
      <c r="S13" s="234">
        <v>182</v>
      </c>
      <c r="T13" s="235">
        <f>S13/$S$16</f>
        <v>0.3540856031128405</v>
      </c>
      <c r="U13" s="239">
        <f>T13*$V$19</f>
        <v>2612.089494163424</v>
      </c>
      <c r="V13" s="234">
        <f>T13*$V$20</f>
        <v>182</v>
      </c>
    </row>
    <row r="14" spans="2:22" ht="12.75">
      <c r="B14" s="249" t="s">
        <v>102</v>
      </c>
      <c r="C14" s="19"/>
      <c r="D14" s="39"/>
      <c r="E14" s="19"/>
      <c r="F14" s="11"/>
      <c r="G14" s="19"/>
      <c r="H14" s="260"/>
      <c r="K14" s="203"/>
      <c r="L14" s="204"/>
      <c r="M14" s="61"/>
      <c r="N14" s="61"/>
      <c r="O14" s="61"/>
      <c r="Q14" s="61"/>
      <c r="R14" s="234" t="s">
        <v>143</v>
      </c>
      <c r="S14" s="234">
        <v>172</v>
      </c>
      <c r="T14" s="235">
        <f>S14/$S$16</f>
        <v>0.3346303501945525</v>
      </c>
      <c r="U14" s="239">
        <f>T14*$V$19</f>
        <v>2468.5680933852136</v>
      </c>
      <c r="V14" s="234">
        <f>T14*$V$20</f>
        <v>172</v>
      </c>
    </row>
    <row r="15" spans="2:22" ht="12.75">
      <c r="B15" s="86" t="s">
        <v>103</v>
      </c>
      <c r="C15" s="19"/>
      <c r="D15" s="112">
        <v>3</v>
      </c>
      <c r="E15" s="19"/>
      <c r="F15" s="11">
        <v>0</v>
      </c>
      <c r="G15" s="19"/>
      <c r="H15" s="260" t="s">
        <v>27</v>
      </c>
      <c r="K15" s="203"/>
      <c r="L15" s="204"/>
      <c r="M15" s="61"/>
      <c r="N15" s="61"/>
      <c r="O15" s="61"/>
      <c r="Q15" s="61"/>
      <c r="R15" s="234" t="s">
        <v>48</v>
      </c>
      <c r="S15" s="234">
        <v>160</v>
      </c>
      <c r="T15" s="235">
        <f>S15/$S$16</f>
        <v>0.311284046692607</v>
      </c>
      <c r="U15" s="239">
        <f>T15*$V$19</f>
        <v>2296.3424124513617</v>
      </c>
      <c r="V15" s="234">
        <f>T15*$V$20</f>
        <v>160</v>
      </c>
    </row>
    <row r="16" spans="2:22" ht="12.75">
      <c r="B16" s="86" t="s">
        <v>139</v>
      </c>
      <c r="C16" s="19"/>
      <c r="D16" s="199">
        <v>0</v>
      </c>
      <c r="E16" s="19"/>
      <c r="F16" s="11">
        <v>0</v>
      </c>
      <c r="G16" s="19"/>
      <c r="H16" s="260" t="s">
        <v>27</v>
      </c>
      <c r="K16" s="203"/>
      <c r="L16" s="204"/>
      <c r="M16" s="61"/>
      <c r="N16" s="61"/>
      <c r="O16" s="61"/>
      <c r="Q16" s="61"/>
      <c r="R16" s="102" t="s">
        <v>126</v>
      </c>
      <c r="S16" s="102">
        <f>SUM(S13:S15)</f>
        <v>514</v>
      </c>
      <c r="T16" s="227">
        <f>SUM(T13:T15)</f>
        <v>1</v>
      </c>
      <c r="U16" s="232">
        <f>SUM(U13:U15)</f>
        <v>7377</v>
      </c>
      <c r="V16" s="102">
        <f>SUM(V13:V15)</f>
        <v>514</v>
      </c>
    </row>
    <row r="17" spans="2:22" ht="12.75">
      <c r="B17" s="86" t="s">
        <v>106</v>
      </c>
      <c r="C17" s="19"/>
      <c r="D17" s="112">
        <v>0</v>
      </c>
      <c r="E17" s="19"/>
      <c r="F17" s="11">
        <v>0</v>
      </c>
      <c r="G17" s="19"/>
      <c r="H17" s="260" t="s">
        <v>27</v>
      </c>
      <c r="K17" s="203"/>
      <c r="L17" s="204"/>
      <c r="M17" s="61"/>
      <c r="N17" s="61"/>
      <c r="O17" s="61"/>
      <c r="Q17" s="61"/>
      <c r="R17" s="102"/>
      <c r="S17" s="102"/>
      <c r="T17" s="102"/>
      <c r="U17" s="100"/>
      <c r="V17" s="61"/>
    </row>
    <row r="18" spans="2:22" ht="12.75">
      <c r="B18" s="86" t="s">
        <v>132</v>
      </c>
      <c r="C18" s="19"/>
      <c r="D18" s="112">
        <v>0</v>
      </c>
      <c r="E18" s="19"/>
      <c r="F18" s="115">
        <v>0</v>
      </c>
      <c r="G18" s="19"/>
      <c r="H18" s="260" t="s">
        <v>27</v>
      </c>
      <c r="K18" s="203" t="s">
        <v>27</v>
      </c>
      <c r="L18" s="204" t="s">
        <v>27</v>
      </c>
      <c r="M18" s="61"/>
      <c r="N18" s="61"/>
      <c r="O18" s="61"/>
      <c r="Q18" s="61"/>
      <c r="R18" s="102"/>
      <c r="S18" s="102"/>
      <c r="T18" s="102"/>
      <c r="U18" s="100"/>
      <c r="V18" s="238"/>
    </row>
    <row r="19" spans="2:22" ht="12.75">
      <c r="B19" s="86" t="s">
        <v>107</v>
      </c>
      <c r="C19" s="19"/>
      <c r="D19" s="199">
        <v>0</v>
      </c>
      <c r="E19" s="19"/>
      <c r="F19" s="115">
        <v>0</v>
      </c>
      <c r="G19" s="19"/>
      <c r="H19" s="260" t="s">
        <v>27</v>
      </c>
      <c r="K19" s="203"/>
      <c r="L19" s="204"/>
      <c r="M19" s="61"/>
      <c r="N19" s="157"/>
      <c r="O19" s="157"/>
      <c r="Q19" s="61"/>
      <c r="R19" s="102" t="s">
        <v>151</v>
      </c>
      <c r="S19" s="102"/>
      <c r="T19" s="102"/>
      <c r="U19" s="228"/>
      <c r="V19" s="238">
        <v>7377</v>
      </c>
    </row>
    <row r="20" spans="2:22" ht="26.25">
      <c r="B20" s="164" t="s">
        <v>36</v>
      </c>
      <c r="C20" s="19"/>
      <c r="D20" s="199">
        <v>0</v>
      </c>
      <c r="E20" s="19"/>
      <c r="F20" s="115">
        <v>0</v>
      </c>
      <c r="G20" s="19"/>
      <c r="H20" s="260" t="s">
        <v>27</v>
      </c>
      <c r="K20" s="203"/>
      <c r="L20" s="204"/>
      <c r="M20" s="61"/>
      <c r="N20" s="157"/>
      <c r="O20" s="157"/>
      <c r="Q20" s="61"/>
      <c r="R20" s="102" t="s">
        <v>149</v>
      </c>
      <c r="S20" s="61"/>
      <c r="T20" s="61"/>
      <c r="U20" s="229"/>
      <c r="V20" s="238">
        <v>514</v>
      </c>
    </row>
    <row r="21" spans="2:22" ht="12.75">
      <c r="B21" s="86"/>
      <c r="C21" s="19"/>
      <c r="D21" s="199"/>
      <c r="E21" s="19"/>
      <c r="F21" s="93"/>
      <c r="G21" s="19"/>
      <c r="H21" s="260"/>
      <c r="L21" s="61"/>
      <c r="M21" s="61"/>
      <c r="N21" s="157"/>
      <c r="O21" s="157"/>
      <c r="Q21" s="61"/>
      <c r="R21" s="61"/>
      <c r="S21" s="61"/>
      <c r="T21" s="61"/>
      <c r="U21" s="75" t="s">
        <v>27</v>
      </c>
      <c r="V21" s="61"/>
    </row>
    <row r="22" spans="2:20" ht="12.75">
      <c r="B22" s="86" t="s">
        <v>108</v>
      </c>
      <c r="C22" s="19"/>
      <c r="D22" s="199"/>
      <c r="E22" s="19"/>
      <c r="F22" s="11"/>
      <c r="G22" s="19"/>
      <c r="H22" s="260"/>
      <c r="K22" s="203"/>
      <c r="L22" s="204"/>
      <c r="M22" s="61"/>
      <c r="N22" s="157"/>
      <c r="O22" s="157"/>
      <c r="Q22" s="61"/>
      <c r="R22" s="76"/>
      <c r="S22" s="61"/>
      <c r="T22" s="108"/>
    </row>
    <row r="23" spans="2:20" ht="12.75">
      <c r="B23" s="86" t="s">
        <v>109</v>
      </c>
      <c r="C23" s="19"/>
      <c r="D23" s="199">
        <v>0</v>
      </c>
      <c r="E23" s="19"/>
      <c r="F23" s="209">
        <v>0</v>
      </c>
      <c r="G23" s="19"/>
      <c r="H23" s="260" t="s">
        <v>27</v>
      </c>
      <c r="M23" s="61"/>
      <c r="N23" s="157"/>
      <c r="O23" s="157"/>
      <c r="P23" s="157"/>
      <c r="Q23" s="61"/>
      <c r="R23" s="76"/>
      <c r="S23" s="61"/>
      <c r="T23" s="108"/>
    </row>
    <row r="24" spans="2:20" ht="12.75">
      <c r="B24" s="86" t="s">
        <v>110</v>
      </c>
      <c r="C24" s="19"/>
      <c r="D24" s="199">
        <v>0</v>
      </c>
      <c r="E24" s="19"/>
      <c r="F24" s="209">
        <v>0</v>
      </c>
      <c r="G24" s="19"/>
      <c r="H24" s="260" t="s">
        <v>27</v>
      </c>
      <c r="K24" s="203"/>
      <c r="L24" s="204"/>
      <c r="M24" s="61"/>
      <c r="N24" s="157"/>
      <c r="O24" s="157"/>
      <c r="P24" s="157"/>
      <c r="Q24" s="61"/>
      <c r="R24" s="76"/>
      <c r="S24" s="61"/>
      <c r="T24" s="108"/>
    </row>
    <row r="25" spans="2:20" ht="12.75">
      <c r="B25" s="86" t="s">
        <v>111</v>
      </c>
      <c r="C25" s="19"/>
      <c r="D25" s="199">
        <v>0</v>
      </c>
      <c r="E25" s="19"/>
      <c r="F25" s="209">
        <v>0</v>
      </c>
      <c r="G25" s="19"/>
      <c r="H25" s="260" t="s">
        <v>27</v>
      </c>
      <c r="K25" s="203"/>
      <c r="L25" s="204"/>
      <c r="M25" s="61"/>
      <c r="N25" s="157"/>
      <c r="O25" s="157"/>
      <c r="P25" s="157"/>
      <c r="Q25" s="61"/>
      <c r="R25" s="76"/>
      <c r="S25" s="61"/>
      <c r="T25" s="108"/>
    </row>
    <row r="26" spans="2:20" ht="13.5" thickBot="1">
      <c r="B26" s="88" t="s">
        <v>140</v>
      </c>
      <c r="C26" s="19"/>
      <c r="D26" s="215">
        <f>V13+V14</f>
        <v>354</v>
      </c>
      <c r="E26" s="19"/>
      <c r="F26" s="233">
        <f>U13+U14</f>
        <v>5080.657587548638</v>
      </c>
      <c r="G26" s="19"/>
      <c r="H26" s="261">
        <f>F26/D26</f>
        <v>14.35214007782101</v>
      </c>
      <c r="K26" s="203"/>
      <c r="L26" s="204"/>
      <c r="M26" s="61"/>
      <c r="N26" s="168"/>
      <c r="O26" s="168"/>
      <c r="P26" s="157"/>
      <c r="Q26" s="61"/>
      <c r="R26" s="76"/>
      <c r="S26" s="61"/>
      <c r="T26" s="108"/>
    </row>
    <row r="27" spans="1:20" ht="30" customHeight="1" thickBot="1">
      <c r="A27" s="10"/>
      <c r="B27" s="152" t="s">
        <v>8</v>
      </c>
      <c r="C27" s="91"/>
      <c r="D27" s="252">
        <f>D13-D26</f>
        <v>7404</v>
      </c>
      <c r="E27" s="91"/>
      <c r="F27" s="252">
        <f>F13-F26</f>
        <v>118372.34241245137</v>
      </c>
      <c r="G27" s="91"/>
      <c r="H27" s="259">
        <f>F27/D27</f>
        <v>15.987620531125252</v>
      </c>
      <c r="K27" s="102"/>
      <c r="L27" s="104"/>
      <c r="M27" s="61"/>
      <c r="N27" s="205"/>
      <c r="O27" s="205"/>
      <c r="P27" s="211"/>
      <c r="Q27" s="61"/>
      <c r="S27" s="61"/>
      <c r="T27" s="108"/>
    </row>
    <row r="28" spans="2:20" ht="12.75">
      <c r="B28" s="10"/>
      <c r="C28" s="10"/>
      <c r="D28" s="10"/>
      <c r="E28" s="10"/>
      <c r="F28" s="10"/>
      <c r="G28" s="62"/>
      <c r="H28" s="10"/>
      <c r="K28" s="101"/>
      <c r="L28" s="101"/>
      <c r="M28" s="102"/>
      <c r="N28" s="102"/>
      <c r="O28" s="102"/>
      <c r="Q28" s="102"/>
      <c r="R28" s="104"/>
      <c r="S28" s="102"/>
      <c r="T28" s="109"/>
    </row>
    <row r="29" spans="2:8" ht="12.75">
      <c r="B29" s="10"/>
      <c r="C29" s="10"/>
      <c r="D29" s="10"/>
      <c r="E29" s="10"/>
      <c r="F29" s="10" t="s">
        <v>27</v>
      </c>
      <c r="G29" s="62"/>
      <c r="H29" s="151"/>
    </row>
    <row r="30" spans="2:12" ht="12.75">
      <c r="B30" s="10"/>
      <c r="C30" s="10"/>
      <c r="D30" s="10"/>
      <c r="E30" s="10"/>
      <c r="F30" s="10"/>
      <c r="G30" s="10"/>
      <c r="H30" s="10"/>
      <c r="K30" s="100"/>
      <c r="L30" s="100"/>
    </row>
    <row r="32" ht="12.75">
      <c r="B32" s="100"/>
    </row>
    <row r="34" ht="12.75">
      <c r="B34" s="33"/>
    </row>
    <row r="38" ht="12.75">
      <c r="B38" s="100"/>
    </row>
    <row r="45" ht="12.75">
      <c r="B45" s="100"/>
    </row>
    <row r="51" spans="2:6" ht="12.75">
      <c r="B51" s="105"/>
      <c r="C51" s="121"/>
      <c r="D51" s="121"/>
      <c r="E51" s="121"/>
      <c r="F51" s="121"/>
    </row>
    <row r="52" spans="2:6" ht="12.75">
      <c r="B52" s="121"/>
      <c r="C52" s="121"/>
      <c r="D52" s="121"/>
      <c r="E52" s="121"/>
      <c r="F52" s="121"/>
    </row>
    <row r="56" ht="12.75">
      <c r="B56" s="168"/>
    </row>
    <row r="57" ht="12.75">
      <c r="B57" s="168"/>
    </row>
    <row r="58" ht="12.75">
      <c r="B58" s="168"/>
    </row>
    <row r="59" ht="12.75">
      <c r="B59" s="2"/>
    </row>
    <row r="73" ht="12.75">
      <c r="O73" s="248"/>
    </row>
  </sheetData>
  <sheetProtection/>
  <mergeCells count="3">
    <mergeCell ref="K11:L11"/>
    <mergeCell ref="R7:V7"/>
    <mergeCell ref="F2:H2"/>
  </mergeCells>
  <printOptions horizontalCentered="1"/>
  <pageMargins left="0" right="0" top="0.5" bottom="0.5" header="0" footer="0"/>
  <pageSetup horizontalDpi="600" verticalDpi="600" orientation="portrait" scale="90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1">
      <selection activeCell="K3" sqref="K3"/>
    </sheetView>
  </sheetViews>
  <sheetFormatPr defaultColWidth="9.140625" defaultRowHeight="12.75"/>
  <cols>
    <col min="1" max="1" width="5.28125" style="419" customWidth="1"/>
    <col min="2" max="2" width="0.71875" style="418" customWidth="1"/>
    <col min="3" max="3" width="40.28125" style="418" customWidth="1"/>
    <col min="4" max="4" width="9.421875" style="418" customWidth="1"/>
    <col min="5" max="5" width="18.140625" style="418" customWidth="1"/>
    <col min="6" max="6" width="8.8515625" style="418" hidden="1" customWidth="1"/>
    <col min="7" max="7" width="0.85546875" style="418" customWidth="1"/>
    <col min="8" max="8" width="18.8515625" style="418" customWidth="1"/>
    <col min="9" max="9" width="0.9921875" style="418" customWidth="1"/>
    <col min="10" max="10" width="18.421875" style="418" customWidth="1"/>
    <col min="11" max="16384" width="8.8515625" style="418" customWidth="1"/>
  </cols>
  <sheetData>
    <row r="1" spans="10:12" ht="14.25">
      <c r="J1" s="549" t="s">
        <v>304</v>
      </c>
      <c r="K1" s="549"/>
      <c r="L1" s="549"/>
    </row>
    <row r="2" spans="1:10" ht="14.25">
      <c r="A2" s="603" t="s">
        <v>39</v>
      </c>
      <c r="B2" s="603"/>
      <c r="C2" s="603"/>
      <c r="D2" s="603"/>
      <c r="E2" s="603"/>
      <c r="F2" s="603"/>
      <c r="G2" s="603"/>
      <c r="H2" s="603"/>
      <c r="I2" s="603"/>
      <c r="J2" s="603"/>
    </row>
    <row r="3" spans="1:10" ht="14.25">
      <c r="A3" s="604" t="s">
        <v>249</v>
      </c>
      <c r="B3" s="604"/>
      <c r="C3" s="604"/>
      <c r="D3" s="604"/>
      <c r="E3" s="604"/>
      <c r="F3" s="604"/>
      <c r="G3" s="604"/>
      <c r="H3" s="604"/>
      <c r="I3" s="604"/>
      <c r="J3" s="604"/>
    </row>
    <row r="4" spans="1:10" ht="14.25">
      <c r="A4" s="605" t="s">
        <v>188</v>
      </c>
      <c r="B4" s="604"/>
      <c r="C4" s="604"/>
      <c r="D4" s="604"/>
      <c r="E4" s="604"/>
      <c r="F4" s="604"/>
      <c r="G4" s="604"/>
      <c r="H4" s="604"/>
      <c r="I4" s="604"/>
      <c r="J4" s="604"/>
    </row>
    <row r="5" ht="15" thickBot="1"/>
    <row r="6" spans="1:10" s="420" customFormat="1" ht="15" thickBot="1">
      <c r="A6" s="599" t="s">
        <v>248</v>
      </c>
      <c r="B6" s="487"/>
      <c r="C6" s="490"/>
      <c r="D6" s="491"/>
      <c r="E6" s="599" t="s">
        <v>247</v>
      </c>
      <c r="F6" s="491"/>
      <c r="G6" s="510"/>
      <c r="H6" s="601" t="s">
        <v>246</v>
      </c>
      <c r="I6" s="510"/>
      <c r="J6" s="599" t="s">
        <v>245</v>
      </c>
    </row>
    <row r="7" spans="1:10" s="420" customFormat="1" ht="14.25">
      <c r="A7" s="600"/>
      <c r="B7" s="485"/>
      <c r="C7" s="492" t="s">
        <v>244</v>
      </c>
      <c r="D7" s="493"/>
      <c r="E7" s="600"/>
      <c r="F7" s="493"/>
      <c r="G7" s="511"/>
      <c r="H7" s="602"/>
      <c r="I7" s="511"/>
      <c r="J7" s="600"/>
    </row>
    <row r="8" spans="1:10" ht="2.25" customHeight="1">
      <c r="A8" s="477"/>
      <c r="B8" s="486"/>
      <c r="C8" s="494"/>
      <c r="D8" s="495"/>
      <c r="E8" s="465"/>
      <c r="F8" s="495"/>
      <c r="G8" s="512"/>
      <c r="H8" s="495"/>
      <c r="I8" s="512"/>
      <c r="J8" s="465"/>
    </row>
    <row r="9" spans="1:10" ht="14.25">
      <c r="A9" s="481">
        <v>1</v>
      </c>
      <c r="B9" s="486"/>
      <c r="C9" s="494" t="s">
        <v>116</v>
      </c>
      <c r="D9" s="495"/>
      <c r="E9" s="466">
        <v>343000000</v>
      </c>
      <c r="F9" s="496"/>
      <c r="G9" s="513"/>
      <c r="H9" s="497">
        <v>327193411.905</v>
      </c>
      <c r="I9" s="513"/>
      <c r="J9" s="467">
        <f>E9+H9</f>
        <v>670193411.905</v>
      </c>
    </row>
    <row r="10" spans="1:10" ht="14.25">
      <c r="A10" s="481">
        <f aca="true" t="shared" si="0" ref="A10:A41">A9+1</f>
        <v>2</v>
      </c>
      <c r="B10" s="486"/>
      <c r="C10" s="494" t="s">
        <v>79</v>
      </c>
      <c r="D10" s="495"/>
      <c r="E10" s="467">
        <v>56885838.50056512</v>
      </c>
      <c r="F10" s="496"/>
      <c r="G10" s="513"/>
      <c r="H10" s="496">
        <v>69285546.13824904</v>
      </c>
      <c r="I10" s="513"/>
      <c r="J10" s="467">
        <f>E10+H10</f>
        <v>126171384.63881415</v>
      </c>
    </row>
    <row r="11" spans="1:10" s="427" customFormat="1" ht="14.25">
      <c r="A11" s="564">
        <f t="shared" si="0"/>
        <v>3</v>
      </c>
      <c r="B11" s="486"/>
      <c r="C11" s="498" t="s">
        <v>243</v>
      </c>
      <c r="D11" s="499"/>
      <c r="E11" s="468">
        <v>20569189</v>
      </c>
      <c r="F11" s="500"/>
      <c r="G11" s="513"/>
      <c r="H11" s="500">
        <v>23778041</v>
      </c>
      <c r="I11" s="513"/>
      <c r="J11" s="468">
        <f>SUM(E11+H11)</f>
        <v>44347230</v>
      </c>
    </row>
    <row r="12" spans="1:10" ht="14.25">
      <c r="A12" s="481">
        <f t="shared" si="0"/>
        <v>4</v>
      </c>
      <c r="B12" s="486"/>
      <c r="C12" s="494" t="s">
        <v>112</v>
      </c>
      <c r="D12" s="495"/>
      <c r="E12" s="469">
        <f aca="true" t="shared" si="1" ref="E12:J12">E9-E10-E11</f>
        <v>265544972.4994349</v>
      </c>
      <c r="F12" s="501">
        <f t="shared" si="1"/>
        <v>0</v>
      </c>
      <c r="G12" s="514">
        <f t="shared" si="1"/>
        <v>0</v>
      </c>
      <c r="H12" s="501">
        <f t="shared" si="1"/>
        <v>234129824.76675093</v>
      </c>
      <c r="I12" s="514">
        <f t="shared" si="1"/>
        <v>0</v>
      </c>
      <c r="J12" s="469">
        <f t="shared" si="1"/>
        <v>499674797.26618576</v>
      </c>
    </row>
    <row r="13" spans="1:10" ht="14.25">
      <c r="A13" s="481">
        <f t="shared" si="0"/>
        <v>5</v>
      </c>
      <c r="B13" s="486"/>
      <c r="C13" s="494" t="s">
        <v>283</v>
      </c>
      <c r="D13" s="495"/>
      <c r="E13" s="467">
        <f>'[2]S2'!L11</f>
        <v>2904864.73</v>
      </c>
      <c r="F13" s="496"/>
      <c r="G13" s="513"/>
      <c r="H13" s="496">
        <v>0</v>
      </c>
      <c r="I13" s="513"/>
      <c r="J13" s="467">
        <f>'[2]S2'!L11</f>
        <v>2904864.73</v>
      </c>
    </row>
    <row r="14" spans="1:10" ht="14.25">
      <c r="A14" s="481">
        <f>A13+1</f>
        <v>6</v>
      </c>
      <c r="B14" s="486"/>
      <c r="C14" s="494" t="s">
        <v>284</v>
      </c>
      <c r="D14" s="495"/>
      <c r="E14" s="467"/>
      <c r="F14" s="496"/>
      <c r="G14" s="513"/>
      <c r="H14" s="496"/>
      <c r="I14" s="513"/>
      <c r="J14" s="467"/>
    </row>
    <row r="15" spans="1:10" ht="14.25">
      <c r="A15" s="481">
        <f t="shared" si="0"/>
        <v>7</v>
      </c>
      <c r="B15" s="486"/>
      <c r="C15" s="494" t="s">
        <v>285</v>
      </c>
      <c r="D15" s="495"/>
      <c r="E15" s="467">
        <f>'ES 3.12 B'!F13</f>
        <v>123453</v>
      </c>
      <c r="F15" s="496"/>
      <c r="G15" s="513"/>
      <c r="H15" s="496">
        <v>0</v>
      </c>
      <c r="I15" s="513"/>
      <c r="J15" s="467">
        <f>'[2]NOx'!L11+'[2]AN'!L11</f>
        <v>216243</v>
      </c>
    </row>
    <row r="16" spans="1:10" ht="14.25">
      <c r="A16" s="481">
        <v>8</v>
      </c>
      <c r="B16" s="486"/>
      <c r="C16" s="494" t="s">
        <v>314</v>
      </c>
      <c r="D16" s="495"/>
      <c r="E16" s="467">
        <f>'ES 3.12 A'!F13</f>
        <v>0</v>
      </c>
      <c r="F16" s="496"/>
      <c r="G16" s="513"/>
      <c r="H16" s="496"/>
      <c r="I16" s="513"/>
      <c r="J16" s="467"/>
    </row>
    <row r="17" spans="1:10" ht="14.25">
      <c r="A17" s="481">
        <f>A16+1</f>
        <v>9</v>
      </c>
      <c r="B17" s="486"/>
      <c r="C17" s="494" t="s">
        <v>34</v>
      </c>
      <c r="D17" s="495"/>
      <c r="E17" s="470">
        <f>'Working Cash Capital'!H28</f>
        <v>185270</v>
      </c>
      <c r="F17" s="496"/>
      <c r="G17" s="513"/>
      <c r="H17" s="426">
        <f>'Working Cash Capital'!F28</f>
        <v>2823152</v>
      </c>
      <c r="I17" s="513"/>
      <c r="J17" s="470">
        <f>SUM(E17+H17)</f>
        <v>3008422</v>
      </c>
    </row>
    <row r="18" spans="1:10" s="420" customFormat="1" ht="15" thickBot="1">
      <c r="A18" s="481">
        <f t="shared" si="0"/>
        <v>10</v>
      </c>
      <c r="B18" s="485"/>
      <c r="C18" s="502" t="s">
        <v>80</v>
      </c>
      <c r="D18" s="493"/>
      <c r="E18" s="471">
        <f aca="true" t="shared" si="2" ref="E18:J18">SUM(E12:E17)</f>
        <v>268758560.2294349</v>
      </c>
      <c r="F18" s="501">
        <f t="shared" si="2"/>
        <v>0</v>
      </c>
      <c r="G18" s="514">
        <f t="shared" si="2"/>
        <v>0</v>
      </c>
      <c r="H18" s="422">
        <f t="shared" si="2"/>
        <v>236952976.76675093</v>
      </c>
      <c r="I18" s="514">
        <f t="shared" si="2"/>
        <v>0</v>
      </c>
      <c r="J18" s="471">
        <f t="shared" si="2"/>
        <v>505804326.9961858</v>
      </c>
    </row>
    <row r="19" spans="1:10" ht="15" thickTop="1">
      <c r="A19" s="481">
        <f t="shared" si="0"/>
        <v>11</v>
      </c>
      <c r="B19" s="486"/>
      <c r="C19" s="494" t="s">
        <v>242</v>
      </c>
      <c r="D19" s="547">
        <f>'ES 3.15 '!S18</f>
        <v>0.10128</v>
      </c>
      <c r="E19" s="465"/>
      <c r="F19" s="496"/>
      <c r="G19" s="513"/>
      <c r="H19" s="503" t="s">
        <v>27</v>
      </c>
      <c r="I19" s="513"/>
      <c r="J19" s="467"/>
    </row>
    <row r="20" spans="1:12" ht="14.25">
      <c r="A20" s="481">
        <f t="shared" si="0"/>
        <v>12</v>
      </c>
      <c r="B20" s="486"/>
      <c r="C20" s="494" t="s">
        <v>241</v>
      </c>
      <c r="D20" s="495"/>
      <c r="E20" s="472">
        <f>D19/12</f>
        <v>0.00844</v>
      </c>
      <c r="F20" s="503">
        <v>0.0772</v>
      </c>
      <c r="G20" s="515">
        <v>0.0772</v>
      </c>
      <c r="H20" s="503">
        <f>E20</f>
        <v>0.00844</v>
      </c>
      <c r="I20" s="515"/>
      <c r="J20" s="472">
        <f>H20</f>
        <v>0.00844</v>
      </c>
      <c r="L20" s="418" t="s">
        <v>240</v>
      </c>
    </row>
    <row r="21" spans="1:10" ht="14.25">
      <c r="A21" s="481">
        <f t="shared" si="0"/>
        <v>13</v>
      </c>
      <c r="B21" s="486"/>
      <c r="C21" s="494" t="s">
        <v>239</v>
      </c>
      <c r="D21" s="495"/>
      <c r="E21" s="467">
        <f>E18*E20</f>
        <v>2268322.2483364306</v>
      </c>
      <c r="F21" s="496"/>
      <c r="G21" s="513"/>
      <c r="H21" s="496">
        <f>H18*H20</f>
        <v>1999883.1239113777</v>
      </c>
      <c r="I21" s="513"/>
      <c r="J21" s="467">
        <f>J18*J20</f>
        <v>4268988.5198478075</v>
      </c>
    </row>
    <row r="22" spans="1:12" ht="14.25">
      <c r="A22" s="481">
        <f t="shared" si="0"/>
        <v>14</v>
      </c>
      <c r="B22" s="486"/>
      <c r="C22" s="494" t="s">
        <v>238</v>
      </c>
      <c r="D22" s="495"/>
      <c r="E22" s="465">
        <v>0</v>
      </c>
      <c r="F22" s="496"/>
      <c r="G22" s="513"/>
      <c r="H22" s="496">
        <f>158.72+30532.55+4.83-14050.78-2974.61+1337.75+348.26-75000-5252.5-27328</f>
        <v>-92223.78</v>
      </c>
      <c r="I22" s="513"/>
      <c r="J22" s="467">
        <f aca="true" t="shared" si="3" ref="J22:J32">SUM(H22+E22)</f>
        <v>-92223.78</v>
      </c>
      <c r="L22" s="418">
        <f>158.72+30532.55+4.83-14050.78-2974.64+1337.75+348.26-27328.09-75000-5252.5</f>
        <v>-92223.9</v>
      </c>
    </row>
    <row r="23" spans="1:12" ht="14.25">
      <c r="A23" s="481">
        <f t="shared" si="0"/>
        <v>15</v>
      </c>
      <c r="B23" s="486"/>
      <c r="C23" s="494" t="s">
        <v>237</v>
      </c>
      <c r="D23" s="495"/>
      <c r="E23" s="467">
        <f>52.98+141255.47+4.72+0.05</f>
        <v>141313.22</v>
      </c>
      <c r="F23" s="496"/>
      <c r="G23" s="513"/>
      <c r="H23" s="496">
        <v>0</v>
      </c>
      <c r="I23" s="513"/>
      <c r="J23" s="467">
        <f t="shared" si="3"/>
        <v>141313.22</v>
      </c>
      <c r="L23" s="418">
        <f>52.98+141255.47+4.72</f>
        <v>141313.17</v>
      </c>
    </row>
    <row r="24" spans="1:12" ht="14.25">
      <c r="A24" s="481">
        <f t="shared" si="0"/>
        <v>16</v>
      </c>
      <c r="B24" s="486"/>
      <c r="C24" s="494" t="s">
        <v>236</v>
      </c>
      <c r="D24" s="495"/>
      <c r="E24" s="467">
        <f>35.3+26150.78+3.15+0.03</f>
        <v>26189.26</v>
      </c>
      <c r="F24" s="496"/>
      <c r="G24" s="513"/>
      <c r="H24" s="496">
        <v>0</v>
      </c>
      <c r="I24" s="513"/>
      <c r="J24" s="467">
        <f t="shared" si="3"/>
        <v>26189.26</v>
      </c>
      <c r="L24" s="418">
        <f>35.3+26150.78+3.15+0.03</f>
        <v>26189.26</v>
      </c>
    </row>
    <row r="25" spans="1:12" ht="14.25">
      <c r="A25" s="481">
        <f t="shared" si="0"/>
        <v>17</v>
      </c>
      <c r="B25" s="486"/>
      <c r="C25" s="494" t="s">
        <v>235</v>
      </c>
      <c r="D25" s="495"/>
      <c r="E25" s="467"/>
      <c r="F25" s="496"/>
      <c r="G25" s="513"/>
      <c r="H25" s="496">
        <v>340846</v>
      </c>
      <c r="I25" s="513"/>
      <c r="J25" s="467">
        <f t="shared" si="3"/>
        <v>340846</v>
      </c>
      <c r="L25" s="418">
        <f>125.7+25482.61+313982.69+2.69+1064.65-1739.17+1897.35+29.39</f>
        <v>340845.91000000003</v>
      </c>
    </row>
    <row r="26" spans="1:12" ht="14.25">
      <c r="A26" s="481">
        <f t="shared" si="0"/>
        <v>18</v>
      </c>
      <c r="B26" s="486"/>
      <c r="C26" s="494" t="s">
        <v>234</v>
      </c>
      <c r="D26" s="495"/>
      <c r="E26" s="467">
        <v>0</v>
      </c>
      <c r="F26" s="496"/>
      <c r="G26" s="513"/>
      <c r="H26" s="496">
        <v>895</v>
      </c>
      <c r="I26" s="513"/>
      <c r="J26" s="467">
        <f t="shared" si="3"/>
        <v>895</v>
      </c>
      <c r="L26" s="418">
        <f>3.86+879.2+5+5.57+0.93</f>
        <v>894.5600000000001</v>
      </c>
    </row>
    <row r="27" spans="1:12" ht="14.25">
      <c r="A27" s="481">
        <f t="shared" si="0"/>
        <v>19</v>
      </c>
      <c r="B27" s="486"/>
      <c r="C27" s="494" t="s">
        <v>233</v>
      </c>
      <c r="D27" s="495"/>
      <c r="E27" s="467">
        <v>0</v>
      </c>
      <c r="F27" s="496"/>
      <c r="G27" s="513"/>
      <c r="H27" s="496">
        <v>1452</v>
      </c>
      <c r="I27" s="513"/>
      <c r="J27" s="467">
        <f t="shared" si="3"/>
        <v>1452</v>
      </c>
      <c r="L27" s="418">
        <v>1452</v>
      </c>
    </row>
    <row r="28" spans="1:10" ht="14.25">
      <c r="A28" s="481">
        <f t="shared" si="0"/>
        <v>20</v>
      </c>
      <c r="B28" s="486"/>
      <c r="C28" s="494" t="s">
        <v>232</v>
      </c>
      <c r="D28" s="495"/>
      <c r="E28" s="467">
        <f>0.5*143774.81/12</f>
        <v>5990.6170833333335</v>
      </c>
      <c r="F28" s="496"/>
      <c r="G28" s="513"/>
      <c r="H28" s="496">
        <v>0</v>
      </c>
      <c r="I28" s="513"/>
      <c r="J28" s="467">
        <f t="shared" si="3"/>
        <v>5990.6170833333335</v>
      </c>
    </row>
    <row r="29" spans="1:10" ht="14.25">
      <c r="A29" s="481">
        <f t="shared" si="0"/>
        <v>21</v>
      </c>
      <c r="B29" s="486"/>
      <c r="C29" s="494" t="s">
        <v>231</v>
      </c>
      <c r="D29" s="495"/>
      <c r="E29" s="467">
        <f>'[2]S2'!L10</f>
        <v>33162.27</v>
      </c>
      <c r="F29" s="496"/>
      <c r="G29" s="513"/>
      <c r="H29" s="496">
        <v>0</v>
      </c>
      <c r="I29" s="513"/>
      <c r="J29" s="467">
        <f t="shared" si="3"/>
        <v>33162.27</v>
      </c>
    </row>
    <row r="30" spans="1:10" ht="14.25">
      <c r="A30" s="481">
        <f>A29+1</f>
        <v>22</v>
      </c>
      <c r="B30" s="486"/>
      <c r="C30" s="494" t="s">
        <v>258</v>
      </c>
      <c r="D30" s="495"/>
      <c r="E30" s="467"/>
      <c r="F30" s="496"/>
      <c r="G30" s="513"/>
      <c r="H30" s="496"/>
      <c r="I30" s="513"/>
      <c r="J30" s="467"/>
    </row>
    <row r="31" spans="1:10" ht="14.25">
      <c r="A31" s="481">
        <f t="shared" si="0"/>
        <v>23</v>
      </c>
      <c r="B31" s="486"/>
      <c r="C31" s="494" t="s">
        <v>322</v>
      </c>
      <c r="D31" s="495"/>
      <c r="E31" s="467">
        <v>0</v>
      </c>
      <c r="F31" s="496"/>
      <c r="G31" s="513"/>
      <c r="H31" s="496">
        <v>0</v>
      </c>
      <c r="I31" s="513"/>
      <c r="J31" s="467">
        <f t="shared" si="3"/>
        <v>0</v>
      </c>
    </row>
    <row r="32" spans="1:10" ht="15.75">
      <c r="A32" s="481">
        <f t="shared" si="0"/>
        <v>24</v>
      </c>
      <c r="B32" s="486"/>
      <c r="C32" s="494" t="s">
        <v>323</v>
      </c>
      <c r="D32" s="495"/>
      <c r="E32" s="473">
        <f>'[2]AN'!L10</f>
        <v>2207</v>
      </c>
      <c r="F32" s="496"/>
      <c r="G32" s="513"/>
      <c r="H32" s="504">
        <v>0</v>
      </c>
      <c r="I32" s="513"/>
      <c r="J32" s="467">
        <f t="shared" si="3"/>
        <v>2207</v>
      </c>
    </row>
    <row r="33" spans="1:10" s="420" customFormat="1" ht="15" thickBot="1">
      <c r="A33" s="481">
        <f t="shared" si="0"/>
        <v>25</v>
      </c>
      <c r="B33" s="485"/>
      <c r="C33" s="502" t="s">
        <v>230</v>
      </c>
      <c r="D33" s="493"/>
      <c r="E33" s="471">
        <f>SUM(E21:E32)</f>
        <v>2477184.615419764</v>
      </c>
      <c r="F33" s="501"/>
      <c r="G33" s="514"/>
      <c r="H33" s="422">
        <f>SUM(H20:H32)</f>
        <v>2250852.3523513777</v>
      </c>
      <c r="I33" s="514"/>
      <c r="J33" s="471">
        <f>SUM(J21:J32)</f>
        <v>4728820.106931141</v>
      </c>
    </row>
    <row r="34" spans="1:12" ht="15" thickTop="1">
      <c r="A34" s="481">
        <f t="shared" si="0"/>
        <v>26</v>
      </c>
      <c r="B34" s="486"/>
      <c r="C34" s="494" t="s">
        <v>229</v>
      </c>
      <c r="D34" s="495"/>
      <c r="E34" s="474" t="s">
        <v>228</v>
      </c>
      <c r="F34" s="496"/>
      <c r="G34" s="513"/>
      <c r="H34" s="496">
        <f>378.94+55634.76+66408.91+409.69+28429.47+229.14+4788.94+85.15</f>
        <v>156365.00000000003</v>
      </c>
      <c r="I34" s="513"/>
      <c r="J34" s="467">
        <f>H34</f>
        <v>156365.00000000003</v>
      </c>
      <c r="K34" s="424"/>
      <c r="L34" s="418">
        <f>378.94+55634.76+66408.91+409.69+28429.47+229.14+4788.94+85.15</f>
        <v>156365.00000000003</v>
      </c>
    </row>
    <row r="35" spans="1:12" ht="14.25">
      <c r="A35" s="481">
        <f t="shared" si="0"/>
        <v>27</v>
      </c>
      <c r="B35" s="486"/>
      <c r="C35" s="494" t="s">
        <v>227</v>
      </c>
      <c r="D35" s="495"/>
      <c r="E35" s="467">
        <f>32.87+711.61+0.74+-3903.93+402.09+7.42+5490.59+60.9+9926.07+2064.1+11.11+3334.91+792.57+13.87+1.81+302.28+40.17+264.53</f>
        <v>19553.71</v>
      </c>
      <c r="F35" s="496"/>
      <c r="G35" s="513"/>
      <c r="H35" s="496"/>
      <c r="I35" s="513"/>
      <c r="J35" s="467">
        <f>SUM(E35)</f>
        <v>19553.71</v>
      </c>
      <c r="L35" s="418">
        <f>60.9+9926.07+2064.1+11.11+3334.91+792.57+13.87+32.87+5490.59+711.61+0.74-3903.93+402.09+7.42+1.81+302.28+40.17+264.53</f>
        <v>19553.71</v>
      </c>
    </row>
    <row r="36" spans="1:10" s="420" customFormat="1" ht="15" thickBot="1">
      <c r="A36" s="481">
        <f t="shared" si="0"/>
        <v>28</v>
      </c>
      <c r="B36" s="485"/>
      <c r="C36" s="502" t="s">
        <v>226</v>
      </c>
      <c r="D36" s="493"/>
      <c r="E36" s="471">
        <f>SUM(E34:E35)</f>
        <v>19553.71</v>
      </c>
      <c r="F36" s="422"/>
      <c r="G36" s="516"/>
      <c r="H36" s="422">
        <f>SUM(H34:H35)</f>
        <v>156365.00000000003</v>
      </c>
      <c r="I36" s="516"/>
      <c r="J36" s="471">
        <f>SUM(J34:J35)</f>
        <v>175918.71000000002</v>
      </c>
    </row>
    <row r="37" spans="1:10" ht="15" thickTop="1">
      <c r="A37" s="481">
        <f t="shared" si="0"/>
        <v>29</v>
      </c>
      <c r="B37" s="486"/>
      <c r="C37" s="494" t="s">
        <v>98</v>
      </c>
      <c r="D37" s="495"/>
      <c r="E37" s="467">
        <v>724448.1367848336</v>
      </c>
      <c r="F37" s="496"/>
      <c r="G37" s="513"/>
      <c r="H37" s="496">
        <v>853429.482718875</v>
      </c>
      <c r="I37" s="513"/>
      <c r="J37" s="467">
        <f>SUM(E37+H37)</f>
        <v>1577877.6195037086</v>
      </c>
    </row>
    <row r="38" spans="1:10" ht="14.25">
      <c r="A38" s="481">
        <f t="shared" si="0"/>
        <v>30</v>
      </c>
      <c r="B38" s="486"/>
      <c r="C38" s="494" t="s">
        <v>35</v>
      </c>
      <c r="D38" s="495"/>
      <c r="E38" s="467">
        <f>8190115.44*0.125/12</f>
        <v>85313.7025</v>
      </c>
      <c r="F38" s="496"/>
      <c r="G38" s="513"/>
      <c r="H38" s="496">
        <v>0</v>
      </c>
      <c r="I38" s="513"/>
      <c r="J38" s="467">
        <f>SUM(E38:H38)</f>
        <v>85313.7025</v>
      </c>
    </row>
    <row r="39" spans="1:10" ht="14.25">
      <c r="A39" s="481">
        <f t="shared" si="0"/>
        <v>31</v>
      </c>
      <c r="B39" s="486"/>
      <c r="C39" s="494" t="s">
        <v>125</v>
      </c>
      <c r="D39" s="495"/>
      <c r="E39" s="475">
        <f>(E9*Marshall_Rate*WV_List*PC_Percent)/12</f>
        <v>18405.38</v>
      </c>
      <c r="F39" s="496"/>
      <c r="G39" s="513"/>
      <c r="H39" s="505">
        <f>(H9*Marshall_Rate*WV_List*PC_Percent)/12</f>
        <v>17557.198482822296</v>
      </c>
      <c r="I39" s="513"/>
      <c r="J39" s="467">
        <f>E39+H39</f>
        <v>35962.5784828223</v>
      </c>
    </row>
    <row r="40" spans="1:10" s="420" customFormat="1" ht="15" thickBot="1">
      <c r="A40" s="481">
        <f t="shared" si="0"/>
        <v>32</v>
      </c>
      <c r="B40" s="485"/>
      <c r="C40" s="502" t="s">
        <v>225</v>
      </c>
      <c r="D40" s="493"/>
      <c r="E40" s="471">
        <f aca="true" t="shared" si="4" ref="E40:J40">SUM(E37:E39)</f>
        <v>828167.2192848336</v>
      </c>
      <c r="F40" s="422">
        <f t="shared" si="4"/>
        <v>0</v>
      </c>
      <c r="G40" s="516">
        <f t="shared" si="4"/>
        <v>0</v>
      </c>
      <c r="H40" s="422">
        <f t="shared" si="4"/>
        <v>870986.6812016973</v>
      </c>
      <c r="I40" s="516">
        <f t="shared" si="4"/>
        <v>0</v>
      </c>
      <c r="J40" s="471">
        <f t="shared" si="4"/>
        <v>1699153.9004865307</v>
      </c>
    </row>
    <row r="41" spans="1:10" s="420" customFormat="1" ht="15" thickBot="1" thickTop="1">
      <c r="A41" s="489">
        <f t="shared" si="0"/>
        <v>33</v>
      </c>
      <c r="B41" s="485"/>
      <c r="C41" s="506" t="s">
        <v>224</v>
      </c>
      <c r="D41" s="507"/>
      <c r="E41" s="509">
        <f aca="true" t="shared" si="5" ref="E41:J41">SUM(E33+E36+E40)</f>
        <v>3324905.5447045974</v>
      </c>
      <c r="F41" s="508">
        <f t="shared" si="5"/>
        <v>0</v>
      </c>
      <c r="G41" s="517">
        <f t="shared" si="5"/>
        <v>0</v>
      </c>
      <c r="H41" s="508">
        <f t="shared" si="5"/>
        <v>3278204.033553075</v>
      </c>
      <c r="I41" s="517">
        <f t="shared" si="5"/>
        <v>0</v>
      </c>
      <c r="J41" s="509">
        <f t="shared" si="5"/>
        <v>6603892.717417671</v>
      </c>
    </row>
    <row r="46" spans="1:3" ht="14.25">
      <c r="A46" s="419" t="s">
        <v>141</v>
      </c>
      <c r="C46" s="523" t="s">
        <v>289</v>
      </c>
    </row>
    <row r="47" spans="1:10" ht="21" customHeight="1">
      <c r="A47" s="419" t="s">
        <v>215</v>
      </c>
      <c r="C47" s="606" t="s">
        <v>288</v>
      </c>
      <c r="D47" s="606"/>
      <c r="E47" s="606"/>
      <c r="F47" s="606"/>
      <c r="G47" s="606"/>
      <c r="H47" s="606"/>
      <c r="I47" s="606"/>
      <c r="J47" s="606"/>
    </row>
    <row r="48" spans="3:10" ht="14.25" hidden="1">
      <c r="C48" s="606"/>
      <c r="D48" s="606"/>
      <c r="E48" s="606"/>
      <c r="F48" s="606"/>
      <c r="G48" s="606"/>
      <c r="H48" s="606"/>
      <c r="I48" s="606"/>
      <c r="J48" s="606"/>
    </row>
    <row r="49" ht="14.25">
      <c r="C49" s="418" t="s">
        <v>27</v>
      </c>
    </row>
  </sheetData>
  <sheetProtection/>
  <mergeCells count="8">
    <mergeCell ref="C47:J48"/>
    <mergeCell ref="E6:E7"/>
    <mergeCell ref="H6:H7"/>
    <mergeCell ref="J6:J7"/>
    <mergeCell ref="A6:A7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s767267</dc:creator>
  <cp:keywords/>
  <dc:description/>
  <cp:lastModifiedBy>AEP</cp:lastModifiedBy>
  <cp:lastPrinted>2015-05-18T16:11:15Z</cp:lastPrinted>
  <dcterms:created xsi:type="dcterms:W3CDTF">2002-05-13T18:35:45Z</dcterms:created>
  <dcterms:modified xsi:type="dcterms:W3CDTF">2015-05-18T18:47:00Z</dcterms:modified>
  <cp:category/>
  <cp:version/>
  <cp:contentType/>
  <cp:contentStatus/>
</cp:coreProperties>
</file>