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461" windowWidth="12420" windowHeight="12780" activeTab="0"/>
  </bookViews>
  <sheets>
    <sheet name="LG&amp;E Pg. 1" sheetId="1" r:id="rId1"/>
    <sheet name="LG&amp;E Pg. 2" sheetId="2" r:id="rId2"/>
    <sheet name="LG&amp;E Pg. 3" sheetId="3" r:id="rId3"/>
    <sheet name="KU Pg. 1" sheetId="4" r:id="rId4"/>
    <sheet name="KU Pg. 2" sheetId="5" r:id="rId5"/>
    <sheet name="KU Pg. 3" sheetId="6" r:id="rId6"/>
  </sheets>
  <definedNames>
    <definedName name="_xlfn.BAHTTEXT" hidden="1">#NAME?</definedName>
    <definedName name="_xlnm.Print_Area" localSheetId="3">'KU Pg. 1'!$A$1:$H$39</definedName>
    <definedName name="_xlnm.Print_Area" localSheetId="4">'KU Pg. 2'!$A$1:$I$32</definedName>
    <definedName name="_xlnm.Print_Area" localSheetId="5">'KU Pg. 3'!$A$1:$H$38</definedName>
    <definedName name="_xlnm.Print_Area" localSheetId="0">'LG&amp;E Pg. 1'!$A$1:$H$40</definedName>
    <definedName name="_xlnm.Print_Area" localSheetId="1">'LG&amp;E Pg. 2'!$A$1:$I$32</definedName>
    <definedName name="_xlnm.Print_Area" localSheetId="2">'LG&amp;E Pg. 3'!$A$1:$H$38</definedName>
  </definedNames>
  <calcPr fullCalcOnLoad="1"/>
</workbook>
</file>

<file path=xl/sharedStrings.xml><?xml version="1.0" encoding="utf-8"?>
<sst xmlns="http://schemas.openxmlformats.org/spreadsheetml/2006/main" count="149" uniqueCount="67">
  <si>
    <t>LOUISVILLE GAS AND ELECTRIC COMPANY</t>
  </si>
  <si>
    <t>Calculation Of Attachment Charges for CATV</t>
  </si>
  <si>
    <t>Pole Size</t>
  </si>
  <si>
    <t>Quantity</t>
  </si>
  <si>
    <t>Installed Cost</t>
  </si>
  <si>
    <t>Average Installed Cost</t>
  </si>
  <si>
    <t>35'</t>
  </si>
  <si>
    <t>40'</t>
  </si>
  <si>
    <t>Three-User Poles</t>
  </si>
  <si>
    <t>45'</t>
  </si>
  <si>
    <t>Two-User Pole Charge</t>
  </si>
  <si>
    <t>Three-User Pole Charge</t>
  </si>
  <si>
    <t>Calculation Of Annual Carrying Charge</t>
  </si>
  <si>
    <t>Proposed Rate of Return</t>
  </si>
  <si>
    <t>Depreciation - Sinking Fund</t>
  </si>
  <si>
    <t xml:space="preserve">Income Tax (1) </t>
  </si>
  <si>
    <t>Property Tax and Insurance</t>
  </si>
  <si>
    <t>Operation and Maintenance (Page 3)</t>
  </si>
  <si>
    <t>Total</t>
  </si>
  <si>
    <t>(1) Derived from rates of equity capital</t>
  </si>
  <si>
    <t>Capitalization Ratio</t>
  </si>
  <si>
    <t>Composite Rate</t>
  </si>
  <si>
    <t>Annual Rate</t>
  </si>
  <si>
    <t xml:space="preserve">  Total Capitalization</t>
  </si>
  <si>
    <t>and Fixtures Subaccount</t>
  </si>
  <si>
    <t xml:space="preserve"> - Tree Trimming</t>
  </si>
  <si>
    <t>Total Labor</t>
  </si>
  <si>
    <t>Total Administrative and General Expenses</t>
  </si>
  <si>
    <t>Assignment of a Portion of A &amp; G Expenses to Poles</t>
  </si>
  <si>
    <t>Expenses Assigned to Poles</t>
  </si>
  <si>
    <t xml:space="preserve">   Maintenance of Poles, Towers, and Fixtures</t>
  </si>
  <si>
    <t>Subaccount 593001</t>
  </si>
  <si>
    <t xml:space="preserve">   Tree Trimming of Electric Distribution</t>
  </si>
  <si>
    <t>Routes 593004</t>
  </si>
  <si>
    <t xml:space="preserve">   A &amp; G Expenses Assigned to Poles</t>
  </si>
  <si>
    <t>Adder to Annual Carrying Charges for O &amp; M Expenses</t>
  </si>
  <si>
    <t xml:space="preserve">  Expenses Assigned to Poles</t>
  </si>
  <si>
    <t xml:space="preserve">  Plant in Service - Account 364 </t>
  </si>
  <si>
    <t>=</t>
  </si>
  <si>
    <t xml:space="preserve">Income Tax = </t>
  </si>
  <si>
    <t xml:space="preserve"> (1) Labor Charged to 593001- Maint of Poles, Towers</t>
  </si>
  <si>
    <t>Operation and Maintenance Expenses for</t>
  </si>
  <si>
    <t>Number of</t>
  </si>
  <si>
    <t>Attachments</t>
  </si>
  <si>
    <t>Weighted</t>
  </si>
  <si>
    <t>Cost</t>
  </si>
  <si>
    <t>Estimated</t>
  </si>
  <si>
    <t>Weighted Total</t>
  </si>
  <si>
    <t>KENTUCKY UTILITIES COMPANY</t>
  </si>
  <si>
    <t>Weighted Average Bare Pole Cost as of 06/30/2014</t>
  </si>
  <si>
    <t>Weighted Average Annual Cost</t>
  </si>
  <si>
    <t>Short Term Debt</t>
  </si>
  <si>
    <t>Long Term Debt</t>
  </si>
  <si>
    <t>Common Equity</t>
  </si>
  <si>
    <t xml:space="preserve"> </t>
  </si>
  <si>
    <t xml:space="preserve"> (1) Labor Charged to 593001 - Poles, Towers</t>
  </si>
  <si>
    <t xml:space="preserve">Federal and State Income Taxes rate    = </t>
  </si>
  <si>
    <t>Labor</t>
  </si>
  <si>
    <t>August 31, 2014 Amounts</t>
  </si>
  <si>
    <t>Forecasted 2016 Expense Amount</t>
  </si>
  <si>
    <t>Calculated SubAccount Allocation</t>
  </si>
  <si>
    <t>Non-Labor</t>
  </si>
  <si>
    <t>Weighted Average Bare Pole Cost as of 10/31/2014</t>
  </si>
  <si>
    <t xml:space="preserve">Was </t>
  </si>
  <si>
    <t>the 12 Months Ended October 31 , 2014</t>
  </si>
  <si>
    <t>October 31, 2014 Amounts</t>
  </si>
  <si>
    <t>the 12 Months Ended October 31, 2014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</si>
</sst>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%"/>
    <numFmt numFmtId="169" formatCode="0.000%"/>
    <numFmt numFmtId="170" formatCode="0.000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[$-409]dddd\,\ mmmm\ dd\,\ yyyy"/>
    <numFmt numFmtId="174" formatCode="[$-409]h:mm:ss\ AM/PM"/>
    <numFmt numFmtId="175" formatCode="0.000"/>
    <numFmt numFmtId="176" formatCode="0.0"/>
    <numFmt numFmtId="177" formatCode="&quot;$&quot;#,##0.0_);[Red]\(&quot;$&quot;#,##0.0\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_);_(* \(#,##0.000\);_(* &quot;-&quot;???_);_(@_)"/>
    <numFmt numFmtId="182" formatCode="#,##0.0000_);\(#,##0.000\)"/>
    <numFmt numFmtId="183" formatCode="&quot;$&quot;#,##0.000_);[Red]\(&quot;$&quot;#,##0.000\)"/>
    <numFmt numFmtId="184" formatCode="&quot;$&quot;#,##0.0000_);[Red]\(&quot;$&quot;#,##0.0000\)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&quot;$&quot;* #,##0.00000_);_(&quot;$&quot;* \(#,##0.00000\);_(&quot;$&quot;* &quot;-&quot;??_);_(@_)"/>
    <numFmt numFmtId="188" formatCode="###0_);[Red]\(###0\)"/>
    <numFmt numFmtId="189" formatCode="[$-409]dd\-mmm\-yy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61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44" fontId="0" fillId="0" borderId="0" xfId="46" applyFont="1" applyAlignment="1">
      <alignment/>
    </xf>
    <xf numFmtId="172" fontId="0" fillId="0" borderId="0" xfId="46" applyNumberFormat="1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0" applyNumberFormat="1" applyBorder="1" applyAlignment="1">
      <alignment/>
    </xf>
    <xf numFmtId="10" fontId="0" fillId="0" borderId="10" xfId="0" applyNumberFormat="1" applyFont="1" applyFill="1" applyBorder="1" applyAlignment="1">
      <alignment horizontal="center"/>
    </xf>
    <xf numFmtId="172" fontId="0" fillId="0" borderId="0" xfId="46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8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65" fontId="0" fillId="0" borderId="0" xfId="42" applyNumberFormat="1" applyFont="1" applyAlignment="1">
      <alignment/>
    </xf>
    <xf numFmtId="44" fontId="0" fillId="0" borderId="0" xfId="0" applyNumberFormat="1" applyAlignment="1">
      <alignment horizontal="right"/>
    </xf>
    <xf numFmtId="10" fontId="0" fillId="0" borderId="0" xfId="61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11" xfId="0" applyNumberFormat="1" applyBorder="1" applyAlignment="1">
      <alignment/>
    </xf>
    <xf numFmtId="172" fontId="0" fillId="0" borderId="11" xfId="46" applyNumberFormat="1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0" xfId="46" applyFont="1" applyAlignment="1">
      <alignment horizontal="right"/>
    </xf>
    <xf numFmtId="172" fontId="0" fillId="0" borderId="0" xfId="46" applyNumberFormat="1" applyFont="1" applyFill="1" applyAlignment="1">
      <alignment/>
    </xf>
    <xf numFmtId="10" fontId="0" fillId="0" borderId="0" xfId="61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5" fontId="0" fillId="0" borderId="0" xfId="42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187" fontId="0" fillId="0" borderId="0" xfId="46" applyNumberFormat="1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0" fontId="0" fillId="0" borderId="10" xfId="61" applyNumberFormat="1" applyFont="1" applyFill="1" applyBorder="1" applyAlignment="1">
      <alignment horizontal="center"/>
    </xf>
    <xf numFmtId="0" fontId="0" fillId="0" borderId="0" xfId="61" applyNumberFormat="1" applyFont="1" applyAlignment="1">
      <alignment/>
    </xf>
    <xf numFmtId="44" fontId="0" fillId="0" borderId="0" xfId="0" applyNumberFormat="1" applyAlignment="1">
      <alignment/>
    </xf>
    <xf numFmtId="184" fontId="0" fillId="0" borderId="0" xfId="0" applyNumberFormat="1" applyAlignment="1">
      <alignment/>
    </xf>
    <xf numFmtId="165" fontId="0" fillId="0" borderId="0" xfId="42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72" fontId="0" fillId="0" borderId="0" xfId="46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0" fillId="0" borderId="0" xfId="42" applyNumberFormat="1" applyFont="1" applyFill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44" fontId="0" fillId="0" borderId="0" xfId="46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39" fillId="0" borderId="0" xfId="0" applyFont="1" applyFill="1" applyAlignment="1">
      <alignment/>
    </xf>
    <xf numFmtId="172" fontId="0" fillId="0" borderId="0" xfId="46" applyNumberFormat="1" applyFont="1" applyFill="1" applyBorder="1" applyAlignment="1">
      <alignment/>
    </xf>
    <xf numFmtId="44" fontId="0" fillId="0" borderId="0" xfId="46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42" applyFont="1" applyFill="1" applyAlignment="1">
      <alignment/>
    </xf>
    <xf numFmtId="1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2" fontId="0" fillId="0" borderId="0" xfId="46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7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/>
    </xf>
    <xf numFmtId="172" fontId="0" fillId="0" borderId="0" xfId="46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65" fontId="0" fillId="0" borderId="0" xfId="42" applyNumberFormat="1" applyFont="1" applyFill="1" applyAlignment="1">
      <alignment/>
    </xf>
    <xf numFmtId="172" fontId="0" fillId="0" borderId="0" xfId="46" applyNumberFormat="1" applyFont="1" applyFill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10" fontId="0" fillId="0" borderId="0" xfId="61" applyNumberFormat="1" applyFont="1" applyFill="1" applyAlignment="1">
      <alignment/>
    </xf>
    <xf numFmtId="165" fontId="0" fillId="0" borderId="11" xfId="0" applyNumberFormat="1" applyFill="1" applyBorder="1" applyAlignment="1">
      <alignment/>
    </xf>
    <xf numFmtId="172" fontId="0" fillId="0" borderId="11" xfId="46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 horizontal="center"/>
    </xf>
    <xf numFmtId="165" fontId="2" fillId="0" borderId="0" xfId="42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horizontal="center"/>
    </xf>
    <xf numFmtId="10" fontId="2" fillId="0" borderId="0" xfId="6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10" xfId="61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0" fontId="2" fillId="0" borderId="0" xfId="0" applyFont="1" applyFill="1" applyBorder="1" applyAlignment="1">
      <alignment/>
    </xf>
    <xf numFmtId="10" fontId="2" fillId="0" borderId="0" xfId="61" applyNumberFormat="1" applyFont="1" applyFill="1" applyAlignment="1">
      <alignment/>
    </xf>
    <xf numFmtId="165" fontId="2" fillId="0" borderId="0" xfId="42" applyNumberFormat="1" applyFont="1" applyFill="1" applyAlignment="1">
      <alignment/>
    </xf>
    <xf numFmtId="172" fontId="2" fillId="0" borderId="0" xfId="46" applyNumberFormat="1" applyFont="1" applyFill="1" applyAlignment="1">
      <alignment/>
    </xf>
    <xf numFmtId="44" fontId="2" fillId="0" borderId="0" xfId="46" applyFont="1" applyFill="1" applyAlignment="1">
      <alignment/>
    </xf>
    <xf numFmtId="165" fontId="2" fillId="0" borderId="0" xfId="42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0" xfId="46" applyNumberFormat="1" applyFont="1" applyFill="1" applyBorder="1" applyAlignment="1">
      <alignment/>
    </xf>
    <xf numFmtId="44" fontId="2" fillId="0" borderId="0" xfId="46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42" applyFont="1" applyFill="1" applyAlignment="1">
      <alignment/>
    </xf>
    <xf numFmtId="10" fontId="2" fillId="0" borderId="0" xfId="61" applyNumberFormat="1" applyFont="1" applyFill="1" applyAlignment="1">
      <alignment horizontal="center"/>
    </xf>
    <xf numFmtId="10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46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1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61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0" fontId="0" fillId="0" borderId="0" xfId="61" applyNumberFormat="1" applyFont="1" applyAlignment="1">
      <alignment horizontal="center" vertical="center"/>
    </xf>
    <xf numFmtId="165" fontId="0" fillId="0" borderId="0" xfId="42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Currency [0] 2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5"/>
  <sheetViews>
    <sheetView tabSelected="1" view="pageBreakPreview" zoomScale="145" zoomScaleSheetLayoutView="145" zoomScalePageLayoutView="0" workbookViewId="0" topLeftCell="A1">
      <selection activeCell="A1" sqref="A1:H1"/>
    </sheetView>
  </sheetViews>
  <sheetFormatPr defaultColWidth="9.140625" defaultRowHeight="12.75"/>
  <cols>
    <col min="4" max="4" width="8.00390625" style="0" bestFit="1" customWidth="1"/>
    <col min="6" max="6" width="15.57421875" style="0" bestFit="1" customWidth="1"/>
    <col min="7" max="7" width="10.421875" style="0" customWidth="1"/>
    <col min="8" max="8" width="12.8515625" style="0" customWidth="1"/>
  </cols>
  <sheetData>
    <row r="1" spans="1:8" ht="12.75">
      <c r="A1" s="130" t="s">
        <v>0</v>
      </c>
      <c r="B1" s="130"/>
      <c r="C1" s="130"/>
      <c r="D1" s="130"/>
      <c r="E1" s="130"/>
      <c r="F1" s="130"/>
      <c r="G1" s="130"/>
      <c r="H1" s="130"/>
    </row>
    <row r="2" spans="1:8" ht="12.75">
      <c r="A2" s="132"/>
      <c r="B2" s="132"/>
      <c r="C2" s="132"/>
      <c r="D2" s="132"/>
      <c r="E2" s="132"/>
      <c r="F2" s="132"/>
      <c r="G2" s="132"/>
      <c r="H2" s="132"/>
    </row>
    <row r="3" spans="1:8" ht="12.75">
      <c r="A3" s="131" t="s">
        <v>1</v>
      </c>
      <c r="B3" s="131"/>
      <c r="C3" s="131"/>
      <c r="D3" s="131"/>
      <c r="E3" s="131"/>
      <c r="F3" s="131"/>
      <c r="G3" s="131"/>
      <c r="H3" s="131"/>
    </row>
    <row r="4" spans="3:6" ht="12.75">
      <c r="C4" s="23"/>
      <c r="D4" s="23"/>
      <c r="E4" s="23"/>
      <c r="F4" s="23"/>
    </row>
    <row r="5" spans="3:6" ht="12.75">
      <c r="C5" s="23"/>
      <c r="D5" s="23"/>
      <c r="E5" s="23"/>
      <c r="F5" s="23"/>
    </row>
    <row r="7" ht="12.75">
      <c r="E7" s="1"/>
    </row>
    <row r="8" spans="2:8" ht="12.75" customHeight="1">
      <c r="B8" s="136" t="s">
        <v>2</v>
      </c>
      <c r="C8" s="11"/>
      <c r="D8" s="136" t="s">
        <v>3</v>
      </c>
      <c r="E8" s="12"/>
      <c r="F8" s="133" t="s">
        <v>4</v>
      </c>
      <c r="G8" s="11"/>
      <c r="H8" s="133" t="s">
        <v>5</v>
      </c>
    </row>
    <row r="9" spans="2:8" ht="12.75">
      <c r="B9" s="137"/>
      <c r="C9" s="11"/>
      <c r="D9" s="137"/>
      <c r="E9" s="12"/>
      <c r="F9" s="135"/>
      <c r="G9" s="11"/>
      <c r="H9" s="134"/>
    </row>
    <row r="12" spans="1:5" ht="12.75">
      <c r="A12" s="2" t="s">
        <v>62</v>
      </c>
      <c r="E12" s="37"/>
    </row>
    <row r="13" ht="12.75">
      <c r="A13" s="2"/>
    </row>
    <row r="14" spans="2:8" ht="12.75">
      <c r="B14" s="9" t="s">
        <v>6</v>
      </c>
      <c r="D14" s="57">
        <v>23334</v>
      </c>
      <c r="E14" s="37"/>
      <c r="F14" s="45">
        <v>12786133.319999997</v>
      </c>
      <c r="G14" s="37"/>
      <c r="H14" s="13">
        <f>F14/D14</f>
        <v>547.9614862432501</v>
      </c>
    </row>
    <row r="15" spans="1:8" ht="12.75">
      <c r="A15" s="2"/>
      <c r="B15" s="9" t="s">
        <v>7</v>
      </c>
      <c r="D15" s="58">
        <v>59312</v>
      </c>
      <c r="E15" s="37"/>
      <c r="F15" s="59">
        <v>31220039.619999994</v>
      </c>
      <c r="G15" s="37"/>
      <c r="H15" s="41">
        <f>F15/D15</f>
        <v>526.369699554896</v>
      </c>
    </row>
    <row r="16" spans="4:8" ht="12.75">
      <c r="D16" s="51">
        <f>SUM(D14:D15)</f>
        <v>82646</v>
      </c>
      <c r="E16" s="37"/>
      <c r="F16" s="60">
        <f>SUM(F14:F15)</f>
        <v>44006172.93999999</v>
      </c>
      <c r="G16" s="37"/>
      <c r="H16" s="44">
        <f>F16/D16</f>
        <v>532.4658536408294</v>
      </c>
    </row>
    <row r="17" spans="1:7" ht="12.75">
      <c r="A17" s="3"/>
      <c r="D17" s="37"/>
      <c r="E17" s="37"/>
      <c r="F17" s="37"/>
      <c r="G17" s="51"/>
    </row>
    <row r="18" spans="1:7" ht="12.75">
      <c r="A18" s="18" t="s">
        <v>8</v>
      </c>
      <c r="B18" s="17"/>
      <c r="D18" s="37"/>
      <c r="E18" s="37"/>
      <c r="F18" s="37"/>
      <c r="G18" s="51"/>
    </row>
    <row r="19" spans="4:7" ht="12.75">
      <c r="D19" s="37"/>
      <c r="E19" s="37"/>
      <c r="F19" s="37"/>
      <c r="G19" s="37"/>
    </row>
    <row r="20" spans="2:8" ht="12.75">
      <c r="B20" s="9" t="s">
        <v>7</v>
      </c>
      <c r="D20" s="57">
        <f>D15</f>
        <v>59312</v>
      </c>
      <c r="E20" s="37"/>
      <c r="F20" s="45">
        <f>F15</f>
        <v>31220039.619999994</v>
      </c>
      <c r="G20" s="61"/>
      <c r="H20" s="13">
        <f>F20/D20</f>
        <v>526.369699554896</v>
      </c>
    </row>
    <row r="21" spans="2:8" ht="12.75">
      <c r="B21" s="9" t="s">
        <v>9</v>
      </c>
      <c r="D21" s="58">
        <v>23443</v>
      </c>
      <c r="E21" s="37"/>
      <c r="F21" s="59">
        <v>35703827.65</v>
      </c>
      <c r="G21" s="37"/>
      <c r="H21" s="20">
        <f>F21/D21</f>
        <v>1523.0059143454334</v>
      </c>
    </row>
    <row r="22" spans="4:12" ht="12.75">
      <c r="D22" s="51">
        <f>SUM(D20:D21)</f>
        <v>82755</v>
      </c>
      <c r="E22" s="37"/>
      <c r="F22" s="60">
        <f>SUM(F20:F21)</f>
        <v>66923867.269999996</v>
      </c>
      <c r="G22" s="37"/>
      <c r="H22" s="13">
        <f>F22/D22</f>
        <v>808.6987767506495</v>
      </c>
      <c r="J22" s="34">
        <f>H16*0.1224</f>
        <v>65.17382048563752</v>
      </c>
      <c r="K22" s="34">
        <f>J22*'LG&amp;E Pg. 2'!H13</f>
        <v>11.767321477981067</v>
      </c>
      <c r="L22" s="34">
        <f>K22/2</f>
        <v>5.8836607389905335</v>
      </c>
    </row>
    <row r="23" spans="4:12" ht="12.75">
      <c r="D23" s="37"/>
      <c r="E23" s="37"/>
      <c r="F23" s="37"/>
      <c r="G23" s="37"/>
      <c r="J23" s="34">
        <f>H22*0.0759</f>
        <v>61.38023715537429</v>
      </c>
      <c r="K23" s="34">
        <f>J23*'LG&amp;E Pg. 2'!H13</f>
        <v>11.082379053736428</v>
      </c>
      <c r="L23" s="34">
        <f>K23/2</f>
        <v>5.541189526868214</v>
      </c>
    </row>
    <row r="24" spans="4:12" ht="12.75">
      <c r="D24" s="37"/>
      <c r="E24" s="37"/>
      <c r="F24" s="37"/>
      <c r="G24" s="37"/>
      <c r="J24" s="34"/>
      <c r="K24" s="34"/>
      <c r="L24" s="34"/>
    </row>
    <row r="25" spans="4:12" ht="12.75">
      <c r="D25" s="37"/>
      <c r="E25" s="37"/>
      <c r="F25" s="37"/>
      <c r="G25" s="62"/>
      <c r="J25" s="34"/>
      <c r="K25" s="34"/>
      <c r="L25" s="34"/>
    </row>
    <row r="26" spans="4:8" ht="12.75">
      <c r="D26" s="37"/>
      <c r="E26" s="37"/>
      <c r="F26" s="37"/>
      <c r="G26" s="62" t="s">
        <v>42</v>
      </c>
      <c r="H26" s="9" t="s">
        <v>44</v>
      </c>
    </row>
    <row r="27" spans="1:8" ht="12.75">
      <c r="A27" s="2" t="s">
        <v>10</v>
      </c>
      <c r="D27" s="37"/>
      <c r="E27" s="37"/>
      <c r="F27" s="37"/>
      <c r="G27" s="63" t="s">
        <v>43</v>
      </c>
      <c r="H27" s="36" t="s">
        <v>45</v>
      </c>
    </row>
    <row r="28" spans="4:7" ht="12.75">
      <c r="D28" s="37"/>
      <c r="E28" s="37"/>
      <c r="F28" s="37"/>
      <c r="G28" s="37"/>
    </row>
    <row r="29" spans="2:7" ht="12.75">
      <c r="B29" s="17" t="str">
        <f>CONCATENATE("",TEXT(H16,"$0.00")," x .1224 Usage Space Factor = ",TEXT(J22,"$ 0.00"),"")</f>
        <v>$532.47 x .1224 Usage Space Factor = $ 65.17</v>
      </c>
      <c r="D29" s="37"/>
      <c r="E29" s="37"/>
      <c r="F29" s="37"/>
      <c r="G29" s="51"/>
    </row>
    <row r="30" spans="2:8" ht="12.75">
      <c r="B30" s="17" t="str">
        <f>CONCATENATE("$  ",TEXT(J22,"0.00")," x ",TEXT('LG&amp;E Pg. 2'!H13,".0000")," Annual Carrying Charge = ",TEXT(K22,"$ 0.00"),"")</f>
        <v>$  65.17 x .1806 Annual Carrying Charge = $ 11.77</v>
      </c>
      <c r="D30" s="37"/>
      <c r="E30" s="37"/>
      <c r="F30" s="37"/>
      <c r="G30" s="48">
        <v>0</v>
      </c>
      <c r="H30" s="14">
        <f>K22*G30</f>
        <v>0</v>
      </c>
    </row>
    <row r="31" spans="2:7" ht="12.75">
      <c r="B31" s="17"/>
      <c r="D31" s="37"/>
      <c r="E31" s="37"/>
      <c r="F31" s="37"/>
      <c r="G31" s="37"/>
    </row>
    <row r="32" spans="1:7" ht="12.75">
      <c r="A32" s="2" t="s">
        <v>11</v>
      </c>
      <c r="D32" s="37"/>
      <c r="E32" s="37"/>
      <c r="F32" s="37"/>
      <c r="G32" s="64"/>
    </row>
    <row r="33" spans="4:7" ht="12.75">
      <c r="D33" s="37"/>
      <c r="E33" s="37"/>
      <c r="F33" s="37"/>
      <c r="G33" s="37"/>
    </row>
    <row r="34" spans="2:7" ht="12.75">
      <c r="B34" s="17" t="str">
        <f>CONCATENATE("",TEXT(H22,"$0.00")," x .0759 Usage Space Factor = ",TEXT(J23,"$0.00"),"")</f>
        <v>$808.70 x .0759 Usage Space Factor = $61.38</v>
      </c>
      <c r="D34" s="37"/>
      <c r="E34" s="37"/>
      <c r="F34" s="37"/>
      <c r="G34" s="51"/>
    </row>
    <row r="35" spans="2:8" ht="12.75">
      <c r="B35" s="17" t="str">
        <f>CONCATENATE("$  ",TEXT(J23,"0.00")," x ",TEXT('LG&amp;E Pg. 2'!H13,".0000")," Annual Carrying Charge = ",TEXT(K23,"$0.00"),"")</f>
        <v>$  61.38 x .1806 Annual Carrying Charge = $11.08</v>
      </c>
      <c r="D35" s="37"/>
      <c r="E35" s="37"/>
      <c r="F35" s="37"/>
      <c r="G35" s="48">
        <f>(87495+87522)/2</f>
        <v>87508.5</v>
      </c>
      <c r="H35" s="14">
        <f>G35*K23</f>
        <v>969802.3674238942</v>
      </c>
    </row>
    <row r="36" spans="2:8" ht="12.75">
      <c r="B36" s="17"/>
      <c r="G36" s="1"/>
      <c r="H36" s="14"/>
    </row>
    <row r="37" spans="3:8" ht="12.75">
      <c r="C37" s="17"/>
      <c r="H37" s="6"/>
    </row>
    <row r="38" spans="2:8" ht="12.75">
      <c r="B38" s="3" t="s">
        <v>47</v>
      </c>
      <c r="G38" s="39">
        <f>SUM(G30:G37)</f>
        <v>87508.5</v>
      </c>
      <c r="H38" s="40">
        <f>SUM(H30:H37)</f>
        <v>969802.3674238942</v>
      </c>
    </row>
    <row r="39" ht="12.75">
      <c r="A39" s="3"/>
    </row>
    <row r="40" spans="1:10" ht="12.75">
      <c r="A40" s="3"/>
      <c r="B40" s="3" t="s">
        <v>50</v>
      </c>
      <c r="G40" s="4"/>
      <c r="H40" s="13">
        <f>H38/G38</f>
        <v>11.082379053736428</v>
      </c>
      <c r="J40" s="55">
        <f>H40*0.85</f>
        <v>9.420022195675964</v>
      </c>
    </row>
    <row r="41" ht="12.75">
      <c r="G41" s="5"/>
    </row>
    <row r="43" ht="12.75">
      <c r="H43" s="6"/>
    </row>
    <row r="45" ht="12.75">
      <c r="H45" s="7"/>
    </row>
  </sheetData>
  <sheetProtection/>
  <mergeCells count="7">
    <mergeCell ref="A1:H1"/>
    <mergeCell ref="A3:H3"/>
    <mergeCell ref="A2:H2"/>
    <mergeCell ref="H8:H9"/>
    <mergeCell ref="F8:F9"/>
    <mergeCell ref="D8:D9"/>
    <mergeCell ref="B8:B9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&amp;R&amp;"Arial,Bold"&amp;12Rebuttal Exhibit MJB-1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view="pageBreakPreview" zoomScale="145" zoomScaleSheetLayoutView="145" zoomScalePageLayoutView="0" workbookViewId="0" topLeftCell="A1">
      <selection activeCell="A1" sqref="A1:I1"/>
    </sheetView>
  </sheetViews>
  <sheetFormatPr defaultColWidth="9.140625" defaultRowHeight="12.75"/>
  <cols>
    <col min="1" max="1" width="12.28125" style="0" customWidth="1"/>
    <col min="2" max="2" width="5.00390625" style="0" bestFit="1" customWidth="1"/>
    <col min="3" max="3" width="12.00390625" style="0" customWidth="1"/>
    <col min="4" max="4" width="7.57421875" style="0" customWidth="1"/>
    <col min="6" max="6" width="7.8515625" style="0" customWidth="1"/>
    <col min="7" max="7" width="10.00390625" style="0" customWidth="1"/>
    <col min="8" max="8" width="12.8515625" style="0" customWidth="1"/>
    <col min="10" max="10" width="10.140625" style="0" bestFit="1" customWidth="1"/>
  </cols>
  <sheetData>
    <row r="1" spans="1:9" ht="12.75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9" ht="12.7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2.75">
      <c r="A3" s="131" t="s">
        <v>12</v>
      </c>
      <c r="B3" s="131"/>
      <c r="C3" s="131"/>
      <c r="D3" s="131"/>
      <c r="E3" s="131"/>
      <c r="F3" s="131"/>
      <c r="G3" s="131"/>
      <c r="H3" s="131"/>
      <c r="I3" s="131"/>
    </row>
    <row r="4" spans="3:6" ht="12.75">
      <c r="C4" s="23"/>
      <c r="D4" s="23"/>
      <c r="E4" s="23"/>
      <c r="F4" s="23"/>
    </row>
    <row r="5" spans="3:6" ht="12.75">
      <c r="C5" s="23"/>
      <c r="D5" s="23"/>
      <c r="E5" s="23"/>
      <c r="F5" s="23"/>
    </row>
    <row r="6" spans="4:8" ht="12.75">
      <c r="D6" s="37"/>
      <c r="E6" s="37"/>
      <c r="F6" s="37"/>
      <c r="G6" s="37"/>
      <c r="H6" s="37"/>
    </row>
    <row r="7" spans="1:11" ht="12.75">
      <c r="A7" s="3" t="s">
        <v>13</v>
      </c>
      <c r="D7" s="37"/>
      <c r="E7" s="64"/>
      <c r="F7" s="37"/>
      <c r="G7" s="37"/>
      <c r="H7" s="65">
        <f>G27</f>
        <v>0.07356346</v>
      </c>
      <c r="K7" s="56">
        <f>-PMT(0.0395,35,1)-0.0395</f>
        <v>0.013714190661907905</v>
      </c>
    </row>
    <row r="8" spans="1:9" ht="12.75" customHeight="1">
      <c r="A8" s="3" t="s">
        <v>14</v>
      </c>
      <c r="B8" s="22"/>
      <c r="C8" s="11"/>
      <c r="D8" s="66"/>
      <c r="E8" s="66"/>
      <c r="F8" s="66"/>
      <c r="G8" s="66"/>
      <c r="H8" s="46">
        <f>-PMT(G27,35,1)-H7</f>
        <v>0.006691132779449452</v>
      </c>
      <c r="I8" s="22"/>
    </row>
    <row r="9" spans="1:10" ht="12.75">
      <c r="A9" s="3" t="s">
        <v>15</v>
      </c>
      <c r="B9" s="22"/>
      <c r="C9" s="11"/>
      <c r="D9" s="66"/>
      <c r="E9" s="66"/>
      <c r="F9" s="66"/>
      <c r="G9" s="66"/>
      <c r="H9" s="65">
        <f>J9</f>
        <v>0.035263072831423894</v>
      </c>
      <c r="J9" s="6">
        <f>(F30/(1-F30))*G25</f>
        <v>0.035263072831423894</v>
      </c>
    </row>
    <row r="10" spans="1:10" ht="12.75">
      <c r="A10" s="3" t="s">
        <v>16</v>
      </c>
      <c r="D10" s="37"/>
      <c r="E10" s="37"/>
      <c r="F10" s="37"/>
      <c r="G10" s="37"/>
      <c r="H10" s="65">
        <f>69261135/6268420954</f>
        <v>0.011049215665039715</v>
      </c>
      <c r="I10" s="6"/>
      <c r="J10" s="50"/>
    </row>
    <row r="11" spans="1:10" ht="12.75">
      <c r="A11" s="3" t="s">
        <v>17</v>
      </c>
      <c r="D11" s="37"/>
      <c r="E11" s="37"/>
      <c r="F11" s="37"/>
      <c r="G11" s="37"/>
      <c r="H11" s="28">
        <f>'LG&amp;E Pg. 3'!H36</f>
        <v>0.05398600622243843</v>
      </c>
      <c r="J11" s="50"/>
    </row>
    <row r="12" spans="1:8" ht="12.75">
      <c r="A12" s="2"/>
      <c r="D12" s="37"/>
      <c r="E12" s="37"/>
      <c r="F12" s="37"/>
      <c r="G12" s="37"/>
      <c r="H12" s="37"/>
    </row>
    <row r="13" spans="1:8" ht="12.75">
      <c r="A13" s="2"/>
      <c r="B13" s="3" t="s">
        <v>18</v>
      </c>
      <c r="D13" s="37"/>
      <c r="E13" s="37"/>
      <c r="F13" s="37"/>
      <c r="G13" s="37"/>
      <c r="H13" s="38">
        <f>SUM(H7:H12)</f>
        <v>0.1805528874983515</v>
      </c>
    </row>
    <row r="14" spans="2:8" ht="12.75">
      <c r="B14" s="9"/>
      <c r="D14" s="67"/>
      <c r="E14" s="37"/>
      <c r="F14" s="60"/>
      <c r="G14" s="37"/>
      <c r="H14" s="68"/>
    </row>
    <row r="15" spans="1:8" ht="12.75">
      <c r="A15" s="3" t="s">
        <v>19</v>
      </c>
      <c r="B15" s="9"/>
      <c r="D15" s="30"/>
      <c r="E15" s="52"/>
      <c r="F15" s="69"/>
      <c r="G15" s="52"/>
      <c r="H15" s="70"/>
    </row>
    <row r="16" spans="4:8" ht="12.75">
      <c r="D16" s="71"/>
      <c r="E16" s="52"/>
      <c r="F16" s="69"/>
      <c r="G16" s="52"/>
      <c r="H16" s="70"/>
    </row>
    <row r="17" spans="1:8" ht="12.75">
      <c r="A17" s="3"/>
      <c r="D17" s="37"/>
      <c r="E17" s="37"/>
      <c r="F17" s="37"/>
      <c r="G17" s="51"/>
      <c r="H17" s="72"/>
    </row>
    <row r="18" spans="4:8" ht="12.75">
      <c r="D18" s="37"/>
      <c r="E18" s="37"/>
      <c r="F18" s="37"/>
      <c r="G18" s="37"/>
      <c r="H18" s="37"/>
    </row>
    <row r="19" spans="1:8" ht="12.75">
      <c r="A19" s="18"/>
      <c r="B19" s="17"/>
      <c r="C19" s="25"/>
      <c r="D19" s="52"/>
      <c r="E19" s="52"/>
      <c r="F19" s="52"/>
      <c r="G19" s="71"/>
      <c r="H19" s="52"/>
    </row>
    <row r="20" spans="2:8" ht="12.75">
      <c r="B20" s="25"/>
      <c r="C20" s="133" t="s">
        <v>20</v>
      </c>
      <c r="D20" s="37"/>
      <c r="E20" s="138" t="s">
        <v>22</v>
      </c>
      <c r="F20" s="52"/>
      <c r="G20" s="138" t="s">
        <v>21</v>
      </c>
      <c r="H20" s="52"/>
    </row>
    <row r="21" spans="2:8" ht="12.75">
      <c r="B21" s="10"/>
      <c r="C21" s="135"/>
      <c r="D21" s="37"/>
      <c r="E21" s="139"/>
      <c r="F21" s="73"/>
      <c r="G21" s="139"/>
      <c r="H21" s="74"/>
    </row>
    <row r="22" spans="2:8" ht="12.75">
      <c r="B22" s="10"/>
      <c r="C22" s="25"/>
      <c r="D22" s="30"/>
      <c r="E22" s="52"/>
      <c r="F22" s="69"/>
      <c r="G22" s="52"/>
      <c r="H22" s="75"/>
    </row>
    <row r="23" spans="1:8" ht="12.75">
      <c r="A23" s="3" t="s">
        <v>51</v>
      </c>
      <c r="C23" s="47">
        <v>0.0454</v>
      </c>
      <c r="D23" s="51"/>
      <c r="E23" s="38">
        <v>0.009</v>
      </c>
      <c r="F23" s="64"/>
      <c r="G23" s="38">
        <f>C23*E23</f>
        <v>0.0004086</v>
      </c>
      <c r="H23" s="76"/>
    </row>
    <row r="24" spans="1:8" ht="12.75">
      <c r="A24" s="3" t="s">
        <v>52</v>
      </c>
      <c r="C24" s="46">
        <v>0.4271</v>
      </c>
      <c r="D24" s="52"/>
      <c r="E24" s="47">
        <v>0.0416</v>
      </c>
      <c r="F24" s="52"/>
      <c r="G24" s="47">
        <f>C24*E24</f>
        <v>0.01776736</v>
      </c>
      <c r="H24" s="37"/>
    </row>
    <row r="25" spans="1:8" ht="12.75">
      <c r="A25" s="3" t="s">
        <v>53</v>
      </c>
      <c r="C25" s="53">
        <v>0.5275</v>
      </c>
      <c r="D25" s="37"/>
      <c r="E25" s="38">
        <v>0.105</v>
      </c>
      <c r="F25" s="37"/>
      <c r="G25" s="77">
        <f>C25*E25</f>
        <v>0.05538749999999999</v>
      </c>
      <c r="H25" s="37"/>
    </row>
    <row r="26" spans="1:8" ht="12.75">
      <c r="A26" s="3"/>
      <c r="C26" s="46"/>
      <c r="D26" s="37"/>
      <c r="E26" s="38"/>
      <c r="F26" s="37"/>
      <c r="G26" s="47"/>
      <c r="H26" s="37"/>
    </row>
    <row r="27" spans="1:8" ht="12.75">
      <c r="A27" s="3" t="s">
        <v>23</v>
      </c>
      <c r="C27" s="35">
        <f>SUM(C23:C25)</f>
        <v>1</v>
      </c>
      <c r="D27" s="37"/>
      <c r="E27" s="78"/>
      <c r="F27" s="37"/>
      <c r="G27" s="38">
        <f>SUM(G23:G25)</f>
        <v>0.07356346</v>
      </c>
      <c r="H27" s="37"/>
    </row>
    <row r="28" spans="2:8" ht="12.75">
      <c r="B28" s="3"/>
      <c r="D28" s="37"/>
      <c r="E28" s="37"/>
      <c r="F28" s="37"/>
      <c r="G28" s="51"/>
      <c r="H28" s="37"/>
    </row>
    <row r="29" spans="2:8" ht="12.75">
      <c r="B29" s="3"/>
      <c r="D29" s="37"/>
      <c r="E29" s="37"/>
      <c r="F29" s="37"/>
      <c r="G29" s="37"/>
      <c r="H29" s="37"/>
    </row>
    <row r="30" spans="1:8" ht="12.75">
      <c r="A30" s="3" t="s">
        <v>56</v>
      </c>
      <c r="B30" s="3"/>
      <c r="D30" s="37"/>
      <c r="E30" s="37"/>
      <c r="F30" s="79">
        <v>0.389</v>
      </c>
      <c r="G30" s="61"/>
      <c r="H30" s="37"/>
    </row>
    <row r="31" ht="12.75">
      <c r="C31" s="3"/>
    </row>
    <row r="32" spans="1:7" ht="12.75">
      <c r="A32" s="3" t="s">
        <v>39</v>
      </c>
      <c r="B32" s="17" t="str">
        <f>CONCATENATE("  (",TEXT(F30,"0.0000"),"/(1-",TEXT(F30,"0.0000"),") x ",TEXT(G25,"0.0000")," = ",TEXT(J9,"0.00%"))</f>
        <v>  (0.3890/(1-0.3890) x 0.0554 = 3.53%</v>
      </c>
      <c r="G32" s="1"/>
    </row>
    <row r="34" spans="1:7" ht="12.75">
      <c r="A34" s="3"/>
      <c r="G34" s="1"/>
    </row>
    <row r="36" spans="2:7" ht="12.75">
      <c r="B36" s="3"/>
      <c r="G36" s="4"/>
    </row>
    <row r="37" ht="12.75">
      <c r="B37" s="3"/>
    </row>
    <row r="38" spans="2:8" ht="12.75">
      <c r="B38" s="3"/>
      <c r="H38" s="6"/>
    </row>
    <row r="39" ht="12.75">
      <c r="C39" s="3"/>
    </row>
    <row r="41" ht="12.75">
      <c r="A41" s="3"/>
    </row>
    <row r="42" ht="12.75">
      <c r="A42" s="3"/>
    </row>
    <row r="43" ht="12.75">
      <c r="G43" s="5"/>
    </row>
    <row r="45" ht="12.75">
      <c r="H45" s="6"/>
    </row>
    <row r="47" ht="12.75">
      <c r="H47" s="7"/>
    </row>
  </sheetData>
  <sheetProtection/>
  <mergeCells count="6">
    <mergeCell ref="C20:C21"/>
    <mergeCell ref="E20:E21"/>
    <mergeCell ref="G20:G21"/>
    <mergeCell ref="A1:I1"/>
    <mergeCell ref="A3:I3"/>
    <mergeCell ref="A2:I2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&amp;R&amp;"Arial,Bold"&amp;12Rebuttal Exhibit MJB-1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50"/>
  <sheetViews>
    <sheetView view="pageBreakPreview" zoomScale="145" zoomScaleSheetLayoutView="145" zoomScalePageLayoutView="0" workbookViewId="0" topLeftCell="A1">
      <selection activeCell="A1" sqref="A1:H1"/>
    </sheetView>
  </sheetViews>
  <sheetFormatPr defaultColWidth="9.140625" defaultRowHeight="12.75"/>
  <cols>
    <col min="1" max="1" width="12.8515625" style="0" customWidth="1"/>
    <col min="4" max="4" width="8.00390625" style="0" bestFit="1" customWidth="1"/>
    <col min="6" max="6" width="12.8515625" style="0" bestFit="1" customWidth="1"/>
    <col min="7" max="7" width="9.57421875" style="0" bestFit="1" customWidth="1"/>
    <col min="8" max="8" width="15.57421875" style="0" bestFit="1" customWidth="1"/>
    <col min="9" max="9" width="12.28125" style="0" bestFit="1" customWidth="1"/>
    <col min="11" max="11" width="10.00390625" style="0" customWidth="1"/>
    <col min="12" max="12" width="15.57421875" style="0" bestFit="1" customWidth="1"/>
  </cols>
  <sheetData>
    <row r="1" spans="1:8" ht="12.75">
      <c r="A1" s="130" t="s">
        <v>0</v>
      </c>
      <c r="B1" s="130"/>
      <c r="C1" s="130"/>
      <c r="D1" s="130"/>
      <c r="E1" s="130"/>
      <c r="F1" s="130"/>
      <c r="G1" s="130"/>
      <c r="H1" s="130"/>
    </row>
    <row r="2" spans="1:8" ht="12.75">
      <c r="A2" s="132"/>
      <c r="B2" s="132"/>
      <c r="C2" s="132"/>
      <c r="D2" s="132"/>
      <c r="E2" s="132"/>
      <c r="F2" s="132"/>
      <c r="G2" s="132"/>
      <c r="H2" s="132"/>
    </row>
    <row r="3" spans="1:8" ht="12.75">
      <c r="A3" s="131" t="s">
        <v>41</v>
      </c>
      <c r="B3" s="131"/>
      <c r="C3" s="131"/>
      <c r="D3" s="131"/>
      <c r="E3" s="131"/>
      <c r="F3" s="131"/>
      <c r="G3" s="131"/>
      <c r="H3" s="131"/>
    </row>
    <row r="4" spans="1:8" ht="12.75">
      <c r="A4" s="131" t="s">
        <v>64</v>
      </c>
      <c r="B4" s="131"/>
      <c r="C4" s="131"/>
      <c r="D4" s="131"/>
      <c r="E4" s="131"/>
      <c r="F4" s="131"/>
      <c r="G4" s="131"/>
      <c r="H4" s="131"/>
    </row>
    <row r="6" spans="3:6" ht="12.75">
      <c r="C6" s="131"/>
      <c r="D6" s="132"/>
      <c r="E6" s="132"/>
      <c r="F6" s="132"/>
    </row>
    <row r="7" spans="3:10" ht="12.75">
      <c r="C7" s="23"/>
      <c r="D7" s="23"/>
      <c r="E7" s="23"/>
      <c r="F7" s="23"/>
      <c r="J7" s="3" t="s">
        <v>65</v>
      </c>
    </row>
    <row r="8" spans="3:8" ht="12.75">
      <c r="C8" s="23"/>
      <c r="D8" s="23"/>
      <c r="E8" s="23"/>
      <c r="F8" s="23"/>
      <c r="G8" s="37"/>
      <c r="H8" s="37"/>
    </row>
    <row r="9" spans="1:13" ht="12.75">
      <c r="A9" s="3" t="s">
        <v>55</v>
      </c>
      <c r="G9" s="37"/>
      <c r="H9" s="37"/>
      <c r="J9">
        <v>593001</v>
      </c>
      <c r="K9" s="3" t="s">
        <v>57</v>
      </c>
      <c r="L9" s="33">
        <v>74303.95000000001</v>
      </c>
      <c r="M9" s="54">
        <f>L9/$L$17</f>
        <v>0.0030781895359214455</v>
      </c>
    </row>
    <row r="10" spans="2:13" ht="12.75">
      <c r="B10" s="3" t="s">
        <v>24</v>
      </c>
      <c r="E10" s="1"/>
      <c r="F10" s="45">
        <f>L9</f>
        <v>74303.95000000001</v>
      </c>
      <c r="G10" s="37"/>
      <c r="H10" s="37"/>
      <c r="K10" s="3" t="s">
        <v>61</v>
      </c>
      <c r="L10" s="33">
        <v>400594.86</v>
      </c>
      <c r="M10" s="54">
        <f>L10/$L$17</f>
        <v>0.016595442183032213</v>
      </c>
    </row>
    <row r="11" spans="2:13" ht="12.75" customHeight="1">
      <c r="B11" s="22" t="s">
        <v>25</v>
      </c>
      <c r="C11" s="11"/>
      <c r="D11" s="22"/>
      <c r="E11" s="12"/>
      <c r="F11" s="49">
        <f>L13</f>
        <v>159440.13999999998</v>
      </c>
      <c r="G11" s="80"/>
      <c r="H11" s="66"/>
      <c r="K11" t="s">
        <v>18</v>
      </c>
      <c r="L11" s="15">
        <f>SUM(L9:L10)</f>
        <v>474898.81</v>
      </c>
      <c r="M11">
        <f>SUM(M9:M10)</f>
        <v>0.019673631718953657</v>
      </c>
    </row>
    <row r="12" spans="2:8" ht="12.75">
      <c r="B12" s="22"/>
      <c r="C12" s="11"/>
      <c r="D12" s="22"/>
      <c r="E12" s="12"/>
      <c r="F12" s="22"/>
      <c r="G12" s="37"/>
      <c r="H12" s="81">
        <f>SUM(F10:F11)</f>
        <v>233744.09</v>
      </c>
    </row>
    <row r="13" spans="7:13" ht="12.75">
      <c r="G13" s="37"/>
      <c r="H13" s="37"/>
      <c r="J13">
        <v>593004</v>
      </c>
      <c r="K13" s="3" t="s">
        <v>57</v>
      </c>
      <c r="L13" s="33">
        <v>159440.13999999998</v>
      </c>
      <c r="M13" s="54">
        <f>L13/$L$17</f>
        <v>0.006605126249060113</v>
      </c>
    </row>
    <row r="14" spans="1:13" ht="12.75">
      <c r="A14" s="3" t="s">
        <v>26</v>
      </c>
      <c r="G14" s="37"/>
      <c r="H14" s="82">
        <v>71414301.96000002</v>
      </c>
      <c r="K14" s="3" t="s">
        <v>61</v>
      </c>
      <c r="L14" s="33">
        <v>7710633.919999999</v>
      </c>
      <c r="M14" s="54">
        <f>L14/$L$17</f>
        <v>0.3194284105739325</v>
      </c>
    </row>
    <row r="15" spans="7:13" ht="12.75">
      <c r="G15" s="37"/>
      <c r="H15" s="37"/>
      <c r="K15" s="3" t="s">
        <v>18</v>
      </c>
      <c r="L15" s="15">
        <f>SUM(L13:L14)</f>
        <v>7870074.059999999</v>
      </c>
      <c r="M15" s="54">
        <f>SUM(M13:M14)</f>
        <v>0.32603353682299263</v>
      </c>
    </row>
    <row r="16" spans="1:9" ht="12.75">
      <c r="A16" s="3" t="s">
        <v>27</v>
      </c>
      <c r="G16" s="37"/>
      <c r="H16" s="45">
        <v>82720225</v>
      </c>
      <c r="I16" s="31">
        <f>H12/H14*H16</f>
        <v>270749.1802979494</v>
      </c>
    </row>
    <row r="17" spans="2:12" ht="12.75">
      <c r="B17" s="10"/>
      <c r="C17" s="25"/>
      <c r="D17" s="24"/>
      <c r="E17" s="25"/>
      <c r="F17" s="29"/>
      <c r="G17" s="52"/>
      <c r="H17" s="74"/>
      <c r="J17">
        <v>593</v>
      </c>
      <c r="K17" s="3" t="s">
        <v>18</v>
      </c>
      <c r="L17" s="14">
        <v>24138848.22</v>
      </c>
    </row>
    <row r="18" spans="1:8" ht="12.75">
      <c r="A18" s="2"/>
      <c r="B18" s="10"/>
      <c r="C18" s="25"/>
      <c r="D18" s="24"/>
      <c r="E18" s="25"/>
      <c r="F18" s="26"/>
      <c r="G18" s="52"/>
      <c r="H18" s="70"/>
    </row>
    <row r="19" spans="1:10" ht="12.75">
      <c r="A19" s="2" t="s">
        <v>28</v>
      </c>
      <c r="B19" s="25"/>
      <c r="C19" s="25"/>
      <c r="D19" s="27"/>
      <c r="E19" s="25"/>
      <c r="F19" s="26"/>
      <c r="G19" s="52"/>
      <c r="H19" s="70"/>
      <c r="J19" s="3" t="s">
        <v>59</v>
      </c>
    </row>
    <row r="20" spans="1:12" ht="12.75">
      <c r="A20" s="3"/>
      <c r="G20" s="51"/>
      <c r="H20" s="37"/>
      <c r="J20">
        <v>593</v>
      </c>
      <c r="K20" s="3" t="s">
        <v>18</v>
      </c>
      <c r="L20" s="14">
        <v>23143806.99999999</v>
      </c>
    </row>
    <row r="21" spans="1:11" ht="12.75">
      <c r="A21" s="17" t="str">
        <f>CONCATENATE("  (",TEXT(H12,"$0,0"),"/",TEXT(H14,"$0,0"),") x ",TEXT(H16,"$0,0")," = ",TEXT(I16,"$0,0"))</f>
        <v>  ($233,744/$71,414,302) x $82,720,225 = $270,749</v>
      </c>
      <c r="G21" s="37"/>
      <c r="H21" s="37"/>
      <c r="J21" s="3" t="s">
        <v>60</v>
      </c>
      <c r="K21" s="3"/>
    </row>
    <row r="22" spans="2:12" ht="12.75">
      <c r="B22" s="17"/>
      <c r="G22" s="51"/>
      <c r="H22" s="37"/>
      <c r="J22">
        <v>593001</v>
      </c>
      <c r="K22" s="3" t="s">
        <v>57</v>
      </c>
      <c r="L22" s="14">
        <f>L20*M9</f>
        <v>71241.02452878546</v>
      </c>
    </row>
    <row r="23" spans="7:12" ht="12.75">
      <c r="G23" s="37"/>
      <c r="H23" s="37"/>
      <c r="K23" s="3" t="s">
        <v>18</v>
      </c>
      <c r="L23" s="14">
        <f>L20*M11</f>
        <v>455322.73549254145</v>
      </c>
    </row>
    <row r="24" spans="1:12" ht="12.75">
      <c r="A24" s="2" t="s">
        <v>29</v>
      </c>
      <c r="B24" s="10"/>
      <c r="C24" s="25"/>
      <c r="D24" s="24"/>
      <c r="E24" s="25"/>
      <c r="F24" s="29"/>
      <c r="G24" s="83"/>
      <c r="H24" s="74"/>
      <c r="L24" s="14"/>
    </row>
    <row r="25" spans="2:12" ht="12.75">
      <c r="B25" s="25"/>
      <c r="C25" s="25"/>
      <c r="D25" s="30"/>
      <c r="E25" s="25"/>
      <c r="F25" s="26"/>
      <c r="G25" s="52"/>
      <c r="H25" s="75"/>
      <c r="J25">
        <v>593004</v>
      </c>
      <c r="K25" s="3" t="s">
        <v>57</v>
      </c>
      <c r="L25" s="14">
        <f>L20*M13</f>
        <v>152867.7671188811</v>
      </c>
    </row>
    <row r="26" spans="1:12" ht="12.75">
      <c r="A26" s="3" t="s">
        <v>30</v>
      </c>
      <c r="B26" s="25"/>
      <c r="C26" s="25"/>
      <c r="D26" s="27"/>
      <c r="E26" s="10"/>
      <c r="F26" s="26"/>
      <c r="G26" s="52"/>
      <c r="H26" s="84"/>
      <c r="K26" s="3" t="s">
        <v>18</v>
      </c>
      <c r="L26" s="14">
        <f>L20*M15</f>
        <v>7545657.251758731</v>
      </c>
    </row>
    <row r="27" spans="2:8" ht="12.75">
      <c r="B27" s="3" t="s">
        <v>31</v>
      </c>
      <c r="G27" s="37"/>
      <c r="H27" s="85">
        <v>474899</v>
      </c>
    </row>
    <row r="28" spans="1:8" ht="12.75">
      <c r="A28" s="3" t="s">
        <v>32</v>
      </c>
      <c r="G28" s="37"/>
      <c r="H28" s="37"/>
    </row>
    <row r="29" spans="1:8" ht="12.75">
      <c r="A29" s="2"/>
      <c r="B29" s="3" t="s">
        <v>33</v>
      </c>
      <c r="G29" s="37"/>
      <c r="H29" s="86">
        <v>7870074</v>
      </c>
    </row>
    <row r="30" spans="1:8" ht="12.75">
      <c r="A30" s="3" t="s">
        <v>34</v>
      </c>
      <c r="G30" s="37"/>
      <c r="H30" s="87">
        <f>I16</f>
        <v>270749.1802979494</v>
      </c>
    </row>
    <row r="31" spans="2:8" ht="12.75">
      <c r="B31" s="3" t="s">
        <v>18</v>
      </c>
      <c r="G31" s="51"/>
      <c r="H31" s="88">
        <f>SUM(H27:H30)</f>
        <v>8615722.18029795</v>
      </c>
    </row>
    <row r="32" spans="1:8" ht="12.75">
      <c r="A32" t="s">
        <v>54</v>
      </c>
      <c r="B32" s="3"/>
      <c r="G32" s="37"/>
      <c r="H32" s="37"/>
    </row>
    <row r="33" spans="2:8" ht="12.75">
      <c r="B33" s="3"/>
      <c r="G33" s="61"/>
      <c r="H33" s="37"/>
    </row>
    <row r="34" spans="1:8" ht="12.75">
      <c r="A34" s="2" t="s">
        <v>35</v>
      </c>
      <c r="C34" s="3"/>
      <c r="G34" s="37"/>
      <c r="H34" s="37"/>
    </row>
    <row r="35" spans="7:8" ht="12.75">
      <c r="G35" s="64"/>
      <c r="H35" s="37"/>
    </row>
    <row r="36" spans="1:8" ht="12.75">
      <c r="A36" s="32">
        <f>H31</f>
        <v>8615722.18029795</v>
      </c>
      <c r="B36" s="42" t="s">
        <v>36</v>
      </c>
      <c r="C36" s="43"/>
      <c r="D36" s="43"/>
      <c r="E36" s="140" t="s">
        <v>38</v>
      </c>
      <c r="G36" s="37"/>
      <c r="H36" s="142">
        <f>A36/A37</f>
        <v>0.05398600622243843</v>
      </c>
    </row>
    <row r="37" spans="1:8" ht="12.75">
      <c r="A37" s="33">
        <v>159591768</v>
      </c>
      <c r="B37" s="3" t="s">
        <v>37</v>
      </c>
      <c r="E37" s="141"/>
      <c r="G37" s="64"/>
      <c r="H37" s="142"/>
    </row>
    <row r="38" spans="7:8" ht="12.75">
      <c r="G38" s="37"/>
      <c r="H38" s="37"/>
    </row>
    <row r="39" spans="2:7" ht="12.75">
      <c r="B39" s="3"/>
      <c r="G39" s="4"/>
    </row>
    <row r="40" ht="12.75">
      <c r="A40" s="3" t="s">
        <v>63</v>
      </c>
    </row>
    <row r="41" spans="1:8" ht="12.75">
      <c r="A41" s="33">
        <v>196580798.39692223</v>
      </c>
      <c r="B41" s="3"/>
      <c r="H41" s="6"/>
    </row>
    <row r="42" ht="12.75">
      <c r="C42" s="3"/>
    </row>
    <row r="44" ht="12.75">
      <c r="A44" s="3"/>
    </row>
    <row r="45" ht="12.75">
      <c r="A45" s="3"/>
    </row>
    <row r="46" ht="12.75">
      <c r="G46" s="5"/>
    </row>
    <row r="48" ht="12.75">
      <c r="H48" s="6"/>
    </row>
    <row r="50" ht="12.75">
      <c r="H50" s="7"/>
    </row>
  </sheetData>
  <sheetProtection/>
  <mergeCells count="7">
    <mergeCell ref="E36:E37"/>
    <mergeCell ref="H36:H37"/>
    <mergeCell ref="C6:F6"/>
    <mergeCell ref="A1:H1"/>
    <mergeCell ref="A3:H3"/>
    <mergeCell ref="A4:H4"/>
    <mergeCell ref="A2:H2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&amp;R&amp;"Arial,Bold"&amp;12Rebuttal Exhibit MJB-1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56"/>
  <sheetViews>
    <sheetView view="pageBreakPreview" zoomScale="145" zoomScaleSheetLayoutView="145" zoomScalePageLayoutView="0" workbookViewId="0" topLeftCell="A1">
      <selection activeCell="A1" sqref="A1:H1"/>
    </sheetView>
  </sheetViews>
  <sheetFormatPr defaultColWidth="9.140625" defaultRowHeight="12.75"/>
  <cols>
    <col min="4" max="4" width="9.140625" style="0" bestFit="1" customWidth="1"/>
    <col min="6" max="6" width="12.8515625" style="0" bestFit="1" customWidth="1"/>
    <col min="7" max="7" width="11.00390625" style="0" customWidth="1"/>
    <col min="8" max="8" width="12.8515625" style="0" customWidth="1"/>
  </cols>
  <sheetData>
    <row r="1" spans="1:8" ht="12.75">
      <c r="A1" s="130" t="s">
        <v>48</v>
      </c>
      <c r="B1" s="130"/>
      <c r="C1" s="130"/>
      <c r="D1" s="130"/>
      <c r="E1" s="130"/>
      <c r="F1" s="130"/>
      <c r="G1" s="130"/>
      <c r="H1" s="130"/>
    </row>
    <row r="2" spans="1:8" ht="12.75">
      <c r="A2" s="132"/>
      <c r="B2" s="132"/>
      <c r="C2" s="132"/>
      <c r="D2" s="132"/>
      <c r="E2" s="132"/>
      <c r="F2" s="132"/>
      <c r="G2" s="132"/>
      <c r="H2" s="132"/>
    </row>
    <row r="3" spans="1:8" ht="12.75">
      <c r="A3" s="131" t="s">
        <v>1</v>
      </c>
      <c r="B3" s="131"/>
      <c r="C3" s="131"/>
      <c r="D3" s="131"/>
      <c r="E3" s="131"/>
      <c r="F3" s="131"/>
      <c r="G3" s="131"/>
      <c r="H3" s="131"/>
    </row>
    <row r="4" spans="3:6" ht="12.75">
      <c r="C4" s="23"/>
      <c r="D4" s="23"/>
      <c r="E4" s="23"/>
      <c r="F4" s="23"/>
    </row>
    <row r="5" spans="3:6" ht="12.75">
      <c r="C5" s="23"/>
      <c r="D5" s="23"/>
      <c r="E5" s="23"/>
      <c r="F5" s="23"/>
    </row>
    <row r="7" ht="12.75">
      <c r="E7" s="1"/>
    </row>
    <row r="8" spans="2:8" ht="12.75" customHeight="1">
      <c r="B8" s="136" t="s">
        <v>2</v>
      </c>
      <c r="C8" s="11"/>
      <c r="D8" s="136" t="s">
        <v>3</v>
      </c>
      <c r="E8" s="12"/>
      <c r="F8" s="133" t="s">
        <v>4</v>
      </c>
      <c r="G8" s="11"/>
      <c r="H8" s="133" t="s">
        <v>5</v>
      </c>
    </row>
    <row r="9" spans="2:8" ht="12.75">
      <c r="B9" s="137"/>
      <c r="C9" s="11"/>
      <c r="D9" s="137"/>
      <c r="E9" s="12"/>
      <c r="F9" s="135"/>
      <c r="G9" s="11"/>
      <c r="H9" s="134"/>
    </row>
    <row r="11" spans="3:8" ht="12.75">
      <c r="C11" s="37"/>
      <c r="D11" s="37"/>
      <c r="E11" s="37"/>
      <c r="F11" s="37"/>
      <c r="G11" s="37"/>
      <c r="H11" s="37"/>
    </row>
    <row r="12" spans="1:8" ht="12.75">
      <c r="A12" s="2" t="s">
        <v>49</v>
      </c>
      <c r="C12" s="37"/>
      <c r="D12" s="37"/>
      <c r="E12" s="37"/>
      <c r="F12" s="37"/>
      <c r="G12" s="37"/>
      <c r="H12" s="37"/>
    </row>
    <row r="13" spans="1:8" ht="12.75">
      <c r="A13" s="2"/>
      <c r="C13" s="37"/>
      <c r="D13" s="37"/>
      <c r="E13" s="37"/>
      <c r="F13" s="37"/>
      <c r="G13" s="37"/>
      <c r="H13" s="37"/>
    </row>
    <row r="14" spans="2:8" ht="12.75">
      <c r="B14" s="9" t="s">
        <v>6</v>
      </c>
      <c r="C14" s="37"/>
      <c r="D14" s="89">
        <v>87362</v>
      </c>
      <c r="E14" s="37"/>
      <c r="F14" s="90">
        <v>23026482</v>
      </c>
      <c r="G14" s="37"/>
      <c r="H14" s="68">
        <f>F14/D14</f>
        <v>263.5754904878551</v>
      </c>
    </row>
    <row r="15" spans="1:8" ht="12.75">
      <c r="A15" s="2"/>
      <c r="B15" s="9" t="s">
        <v>7</v>
      </c>
      <c r="C15" s="37"/>
      <c r="D15" s="91">
        <v>140885</v>
      </c>
      <c r="E15" s="37"/>
      <c r="F15" s="92">
        <v>97115087</v>
      </c>
      <c r="G15" s="37"/>
      <c r="H15" s="93">
        <f>F15/D15</f>
        <v>689.3216949994677</v>
      </c>
    </row>
    <row r="16" spans="3:8" ht="12.75">
      <c r="C16" s="37"/>
      <c r="D16" s="51">
        <f>SUM(D14:D15)</f>
        <v>228247</v>
      </c>
      <c r="E16" s="37"/>
      <c r="F16" s="64">
        <f>SUM(F14:F15)</f>
        <v>120141569</v>
      </c>
      <c r="G16" s="37"/>
      <c r="H16" s="76">
        <f>F16/D16</f>
        <v>526.3664757915767</v>
      </c>
    </row>
    <row r="17" spans="3:8" ht="12.75">
      <c r="C17" s="37"/>
      <c r="D17" s="37"/>
      <c r="E17" s="37"/>
      <c r="F17" s="37"/>
      <c r="G17" s="37"/>
      <c r="H17" s="37"/>
    </row>
    <row r="18" spans="1:8" ht="12.75">
      <c r="A18" s="18" t="s">
        <v>8</v>
      </c>
      <c r="B18" s="17"/>
      <c r="C18" s="37"/>
      <c r="D18" s="37"/>
      <c r="E18" s="37"/>
      <c r="F18" s="37"/>
      <c r="G18" s="51"/>
      <c r="H18" s="37"/>
    </row>
    <row r="19" spans="3:8" ht="12.75">
      <c r="C19" s="37"/>
      <c r="D19" s="37"/>
      <c r="E19" s="37"/>
      <c r="F19" s="37"/>
      <c r="G19" s="37"/>
      <c r="H19" s="37"/>
    </row>
    <row r="20" spans="2:8" ht="12.75">
      <c r="B20" s="9" t="s">
        <v>7</v>
      </c>
      <c r="C20" s="37"/>
      <c r="D20" s="89">
        <f>D15</f>
        <v>140885</v>
      </c>
      <c r="E20" s="37"/>
      <c r="F20" s="90">
        <f>F15</f>
        <v>97115087</v>
      </c>
      <c r="G20" s="61"/>
      <c r="H20" s="68">
        <f>F20/D20</f>
        <v>689.3216949994677</v>
      </c>
    </row>
    <row r="21" spans="2:8" ht="12.75">
      <c r="B21" s="9" t="s">
        <v>9</v>
      </c>
      <c r="C21" s="37"/>
      <c r="D21" s="91">
        <v>69359</v>
      </c>
      <c r="E21" s="37"/>
      <c r="F21" s="92">
        <v>73792804</v>
      </c>
      <c r="G21" s="37"/>
      <c r="H21" s="94">
        <f>F21/D21</f>
        <v>1063.925431450857</v>
      </c>
    </row>
    <row r="22" spans="3:12" ht="12.75">
      <c r="C22" s="37"/>
      <c r="D22" s="51">
        <f>SUM(D20:D21)</f>
        <v>210244</v>
      </c>
      <c r="E22" s="37"/>
      <c r="F22" s="64">
        <f>SUM(F20:F21)</f>
        <v>170907891</v>
      </c>
      <c r="G22" s="37"/>
      <c r="H22" s="76">
        <f>F22/D22</f>
        <v>812.90258461597</v>
      </c>
      <c r="J22" s="16">
        <f>H16*0.1224</f>
        <v>64.42725663688898</v>
      </c>
      <c r="K22" s="16">
        <f>J22*'KU Pg. 2'!H13</f>
        <v>11.043924600495078</v>
      </c>
      <c r="L22" s="16">
        <f>K22/12</f>
        <v>0.9203270500412565</v>
      </c>
    </row>
    <row r="23" spans="3:12" ht="12.75">
      <c r="C23" s="37"/>
      <c r="D23" s="37"/>
      <c r="E23" s="37"/>
      <c r="F23" s="37"/>
      <c r="G23" s="37"/>
      <c r="H23" s="37"/>
      <c r="J23" s="19">
        <f>H22*0.0759</f>
        <v>61.69930617235212</v>
      </c>
      <c r="K23" s="19">
        <f>J23*'KU Pg. 2'!H13</f>
        <v>10.57630761947061</v>
      </c>
      <c r="L23" s="19">
        <f>K23/12</f>
        <v>0.8813589682892174</v>
      </c>
    </row>
    <row r="24" spans="3:12" ht="12.75">
      <c r="C24" s="37"/>
      <c r="D24" s="37"/>
      <c r="E24" s="37"/>
      <c r="F24" s="37"/>
      <c r="G24" s="62" t="s">
        <v>46</v>
      </c>
      <c r="H24" s="37"/>
      <c r="J24" s="19"/>
      <c r="K24" s="19"/>
      <c r="L24" s="19"/>
    </row>
    <row r="25" spans="3:8" ht="12.75">
      <c r="C25" s="37"/>
      <c r="D25" s="37"/>
      <c r="E25" s="37"/>
      <c r="F25" s="37"/>
      <c r="G25" s="62" t="s">
        <v>42</v>
      </c>
      <c r="H25" s="62" t="s">
        <v>44</v>
      </c>
    </row>
    <row r="26" spans="1:10" ht="12.75" customHeight="1">
      <c r="A26" s="2" t="s">
        <v>10</v>
      </c>
      <c r="C26" s="37"/>
      <c r="D26" s="37"/>
      <c r="E26" s="37"/>
      <c r="F26" s="37"/>
      <c r="G26" s="63" t="s">
        <v>43</v>
      </c>
      <c r="H26" s="63" t="s">
        <v>45</v>
      </c>
      <c r="J26" s="19">
        <f>J23*0.85</f>
        <v>52.444410246499295</v>
      </c>
    </row>
    <row r="27" spans="3:10" ht="12.75">
      <c r="C27" s="37"/>
      <c r="D27" s="37"/>
      <c r="E27" s="37"/>
      <c r="F27" s="37"/>
      <c r="G27" s="37"/>
      <c r="H27" s="37"/>
      <c r="J27" s="19">
        <f>J26*0.162</f>
        <v>8.495994459932886</v>
      </c>
    </row>
    <row r="28" spans="2:8" ht="12.75">
      <c r="B28" s="17" t="str">
        <f>CONCATENATE("",TEXT(H16,"$0.00")," x .1224 Usage Space Factor = ",TEXT(J22,"$ 0.00"),"")</f>
        <v>$526.37 x .1224 Usage Space Factor = $ 64.43</v>
      </c>
      <c r="C28" s="37"/>
      <c r="D28" s="37"/>
      <c r="E28" s="37"/>
      <c r="F28" s="37"/>
      <c r="G28" s="51"/>
      <c r="H28" s="37"/>
    </row>
    <row r="29" spans="2:8" ht="12.75">
      <c r="B29" s="17" t="str">
        <f>CONCATENATE("$  ",TEXT(J22,"0.00")," x ",TEXT('KU Pg. 2'!H13,".0000")," Annual Carrying Charge = ",TEXT(K22,"$ 0.00"),"")</f>
        <v>$  64.43 x .1714 Annual Carrying Charge = $ 11.04</v>
      </c>
      <c r="C29" s="37"/>
      <c r="D29" s="37"/>
      <c r="E29" s="37"/>
      <c r="F29" s="37"/>
      <c r="G29" s="48">
        <v>0</v>
      </c>
      <c r="H29" s="60">
        <f>K22*G29</f>
        <v>0</v>
      </c>
    </row>
    <row r="30" spans="3:8" ht="12.75">
      <c r="C30" s="37"/>
      <c r="D30" s="37"/>
      <c r="E30" s="37"/>
      <c r="F30" s="37"/>
      <c r="G30" s="37"/>
      <c r="H30" s="37"/>
    </row>
    <row r="31" spans="1:8" ht="12.75">
      <c r="A31" s="2" t="s">
        <v>11</v>
      </c>
      <c r="C31" s="37"/>
      <c r="D31" s="37"/>
      <c r="E31" s="37"/>
      <c r="F31" s="37"/>
      <c r="G31" s="64"/>
      <c r="H31" s="37"/>
    </row>
    <row r="32" spans="3:8" ht="12.75">
      <c r="C32" s="37"/>
      <c r="D32" s="37"/>
      <c r="E32" s="37"/>
      <c r="F32" s="37"/>
      <c r="G32" s="37"/>
      <c r="H32" s="37"/>
    </row>
    <row r="33" spans="2:8" ht="12.75">
      <c r="B33" s="17" t="str">
        <f>CONCATENATE("",TEXT(H22,"$0.00")," x .0759 Usage Space Factor = ",TEXT(J23,"$0.00"),"")</f>
        <v>$812.90 x .0759 Usage Space Factor = $61.70</v>
      </c>
      <c r="C33" s="37"/>
      <c r="D33" s="37"/>
      <c r="E33" s="37"/>
      <c r="F33" s="37"/>
      <c r="G33" s="51"/>
      <c r="H33" s="37"/>
    </row>
    <row r="34" spans="2:8" ht="12.75">
      <c r="B34" s="17" t="str">
        <f>CONCATENATE("$  ",TEXT(J23,"0.00")," x ",TEXT('KU Pg. 2'!H13,".0000")," Annual Carrying Charge = ",TEXT(K23,"$0.00"),"")</f>
        <v>$  61.70 x .1714 Annual Carrying Charge = $10.58</v>
      </c>
      <c r="C34" s="37"/>
      <c r="D34" s="37"/>
      <c r="E34" s="37"/>
      <c r="F34" s="37"/>
      <c r="G34" s="48">
        <f>(148678+148681)/2</f>
        <v>148679.5</v>
      </c>
      <c r="H34" s="64">
        <f>G34*K23</f>
        <v>1572480.1287090806</v>
      </c>
    </row>
    <row r="35" spans="2:8" ht="12.75">
      <c r="B35" s="17"/>
      <c r="C35" s="37"/>
      <c r="D35" s="37"/>
      <c r="E35" s="37"/>
      <c r="F35" s="37"/>
      <c r="G35" s="64"/>
      <c r="H35" s="60"/>
    </row>
    <row r="36" spans="3:8" ht="12.75">
      <c r="C36" s="37"/>
      <c r="D36" s="37"/>
      <c r="E36" s="37"/>
      <c r="F36" s="37"/>
      <c r="G36" s="37"/>
      <c r="H36" s="95"/>
    </row>
    <row r="37" spans="2:8" ht="12.75">
      <c r="B37" s="3" t="s">
        <v>47</v>
      </c>
      <c r="C37" s="37"/>
      <c r="D37" s="37"/>
      <c r="E37" s="37"/>
      <c r="F37" s="37"/>
      <c r="G37" s="96">
        <f>SUM(G29:G36)</f>
        <v>148679.5</v>
      </c>
      <c r="H37" s="97">
        <f>SUM(H29:H36)</f>
        <v>1572480.1287090806</v>
      </c>
    </row>
    <row r="38" spans="2:7" ht="12.75">
      <c r="B38" s="3"/>
      <c r="G38" s="4"/>
    </row>
    <row r="39" spans="2:10" ht="12.75">
      <c r="B39" s="3" t="s">
        <v>50</v>
      </c>
      <c r="G39" s="4"/>
      <c r="H39" s="21">
        <f>H37/G37</f>
        <v>10.57630761947061</v>
      </c>
      <c r="J39" s="19">
        <f>H39*0.85</f>
        <v>8.989861476550018</v>
      </c>
    </row>
    <row r="41" ht="12.75">
      <c r="A41" s="3"/>
    </row>
    <row r="42" ht="12.75">
      <c r="A42" s="3"/>
    </row>
    <row r="43" ht="12.75">
      <c r="G43" s="5"/>
    </row>
    <row r="45" ht="12.75">
      <c r="H45" s="6"/>
    </row>
    <row r="47" ht="12.75">
      <c r="H47" s="7"/>
    </row>
    <row r="50" ht="12.75">
      <c r="B50" s="17" t="str">
        <f>CONCATENATE("$    ",TEXT(K22,"0.00")," Annual Charge/ 12 = ",TEXT(L22,"$0.00"),"")</f>
        <v>$    11.04 Annual Charge/ 12 = $0.92</v>
      </c>
    </row>
    <row r="51" ht="12.75">
      <c r="C51" s="17" t="str">
        <f>CONCATENATE("Monthly Charge = ",TEXT(L22,"0.00"),"¢")</f>
        <v>Monthly Charge = 0.92¢</v>
      </c>
    </row>
    <row r="55" ht="12.75">
      <c r="B55" s="17" t="str">
        <f>CONCATENATE("$    ",TEXT(K23,"0.00")," Annual Charge / 12 = ",TEXT(L23,"$0.00"),"")</f>
        <v>$    10.58 Annual Charge / 12 = $0.88</v>
      </c>
    </row>
    <row r="56" ht="12.75">
      <c r="C56" s="17" t="str">
        <f>CONCATENATE("Monthly Charge = ",TEXT(L23,"0.00"),"¢")</f>
        <v>Monthly Charge = 0.88¢</v>
      </c>
    </row>
  </sheetData>
  <sheetProtection/>
  <mergeCells count="7">
    <mergeCell ref="A1:H1"/>
    <mergeCell ref="A3:H3"/>
    <mergeCell ref="A2:H2"/>
    <mergeCell ref="H8:H9"/>
    <mergeCell ref="B8:B9"/>
    <mergeCell ref="D8:D9"/>
    <mergeCell ref="F8:F9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&amp;R&amp;"Arial,Bold"&amp;12Rebuttal Exhibit  MJB-2
Page 1 of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7"/>
  <sheetViews>
    <sheetView view="pageBreakPreview" zoomScale="145" zoomScaleSheetLayoutView="145" zoomScalePageLayoutView="0" workbookViewId="0" topLeftCell="A1">
      <selection activeCell="A1" sqref="A1:I1"/>
    </sheetView>
  </sheetViews>
  <sheetFormatPr defaultColWidth="9.140625" defaultRowHeight="12.75"/>
  <cols>
    <col min="1" max="1" width="12.28125" style="0" customWidth="1"/>
    <col min="2" max="2" width="5.00390625" style="0" bestFit="1" customWidth="1"/>
    <col min="3" max="3" width="12.00390625" style="0" customWidth="1"/>
    <col min="4" max="4" width="7.57421875" style="0" customWidth="1"/>
    <col min="6" max="6" width="7.8515625" style="0" customWidth="1"/>
    <col min="7" max="7" width="10.00390625" style="0" customWidth="1"/>
    <col min="8" max="8" width="12.8515625" style="0" customWidth="1"/>
  </cols>
  <sheetData>
    <row r="1" spans="1:9" ht="12.75">
      <c r="A1" s="145" t="s">
        <v>48</v>
      </c>
      <c r="B1" s="145"/>
      <c r="C1" s="145"/>
      <c r="D1" s="145"/>
      <c r="E1" s="145"/>
      <c r="F1" s="145"/>
      <c r="G1" s="145"/>
      <c r="H1" s="145"/>
      <c r="I1" s="145"/>
    </row>
    <row r="2" spans="1:9" ht="12.75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2.75">
      <c r="A3" s="146" t="s">
        <v>12</v>
      </c>
      <c r="B3" s="146"/>
      <c r="C3" s="146"/>
      <c r="D3" s="146"/>
      <c r="E3" s="146"/>
      <c r="F3" s="146"/>
      <c r="G3" s="146"/>
      <c r="H3" s="146"/>
      <c r="I3" s="146"/>
    </row>
    <row r="4" spans="1:9" ht="12.75">
      <c r="A4" s="106"/>
      <c r="B4" s="106"/>
      <c r="C4" s="108"/>
      <c r="D4" s="108"/>
      <c r="E4" s="108"/>
      <c r="F4" s="108"/>
      <c r="G4" s="106"/>
      <c r="H4" s="106"/>
      <c r="I4" s="106"/>
    </row>
    <row r="5" spans="1:9" ht="12.75">
      <c r="A5" s="106"/>
      <c r="B5" s="106"/>
      <c r="C5" s="108"/>
      <c r="D5" s="108"/>
      <c r="E5" s="108"/>
      <c r="F5" s="108"/>
      <c r="G5" s="106"/>
      <c r="H5" s="106"/>
      <c r="I5" s="106"/>
    </row>
    <row r="6" spans="1:9" ht="12.75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2.75">
      <c r="A7" s="106" t="s">
        <v>13</v>
      </c>
      <c r="B7" s="106"/>
      <c r="C7" s="106"/>
      <c r="D7" s="106"/>
      <c r="E7" s="109"/>
      <c r="F7" s="106"/>
      <c r="G7" s="106"/>
      <c r="H7" s="100">
        <f>G27</f>
        <v>0.072252602</v>
      </c>
      <c r="I7" s="106"/>
    </row>
    <row r="8" spans="1:9" ht="12.75" customHeight="1">
      <c r="A8" s="106" t="s">
        <v>14</v>
      </c>
      <c r="B8" s="110"/>
      <c r="C8" s="108"/>
      <c r="D8" s="110"/>
      <c r="E8" s="110"/>
      <c r="F8" s="110"/>
      <c r="G8" s="110"/>
      <c r="H8" s="103">
        <f>-PMT(G27,35,1)-H7</f>
        <v>0.0068863915916665686</v>
      </c>
      <c r="I8" s="110"/>
    </row>
    <row r="9" spans="1:10" ht="12.75">
      <c r="A9" s="106" t="s">
        <v>15</v>
      </c>
      <c r="B9" s="110"/>
      <c r="C9" s="108"/>
      <c r="D9" s="110"/>
      <c r="E9" s="110"/>
      <c r="F9" s="110"/>
      <c r="G9" s="110"/>
      <c r="H9" s="100">
        <f>J9</f>
        <v>0.03580455319148936</v>
      </c>
      <c r="I9" s="106"/>
      <c r="J9">
        <f>(F30/(1-F30))*G25</f>
        <v>0.03580455319148936</v>
      </c>
    </row>
    <row r="10" spans="1:9" ht="12.75">
      <c r="A10" s="106" t="s">
        <v>16</v>
      </c>
      <c r="B10" s="106"/>
      <c r="C10" s="106"/>
      <c r="D10" s="106"/>
      <c r="E10" s="106"/>
      <c r="F10" s="106"/>
      <c r="G10" s="106"/>
      <c r="H10" s="100">
        <f>35822706/8555402693</f>
        <v>0.004187144344393047</v>
      </c>
      <c r="I10" s="111"/>
    </row>
    <row r="11" spans="1:9" ht="12.75">
      <c r="A11" s="106" t="s">
        <v>17</v>
      </c>
      <c r="B11" s="106"/>
      <c r="C11" s="106"/>
      <c r="D11" s="106"/>
      <c r="E11" s="106"/>
      <c r="F11" s="106"/>
      <c r="G11" s="106"/>
      <c r="H11" s="98">
        <f>'KU Pg. 3'!H36</f>
        <v>0.05228627083838518</v>
      </c>
      <c r="I11" s="106"/>
    </row>
    <row r="12" spans="1:9" ht="12.75">
      <c r="A12" s="106"/>
      <c r="B12" s="106"/>
      <c r="C12" s="106"/>
      <c r="D12" s="106"/>
      <c r="E12" s="106"/>
      <c r="F12" s="106"/>
      <c r="G12" s="106"/>
      <c r="H12" s="106"/>
      <c r="I12" s="106"/>
    </row>
    <row r="13" spans="1:9" ht="12.75">
      <c r="A13" s="106"/>
      <c r="B13" s="106" t="s">
        <v>18</v>
      </c>
      <c r="C13" s="106"/>
      <c r="D13" s="106"/>
      <c r="E13" s="106"/>
      <c r="F13" s="106"/>
      <c r="G13" s="106"/>
      <c r="H13" s="102">
        <f>SUM(H7:H12)</f>
        <v>0.17141696196593417</v>
      </c>
      <c r="I13" s="106"/>
    </row>
    <row r="14" spans="1:9" ht="12.75">
      <c r="A14" s="106"/>
      <c r="B14" s="107"/>
      <c r="C14" s="106"/>
      <c r="D14" s="112"/>
      <c r="E14" s="106"/>
      <c r="F14" s="113"/>
      <c r="G14" s="106"/>
      <c r="H14" s="114"/>
      <c r="I14" s="106"/>
    </row>
    <row r="15" spans="1:9" ht="12.75">
      <c r="A15" s="106" t="s">
        <v>19</v>
      </c>
      <c r="B15" s="107"/>
      <c r="C15" s="106"/>
      <c r="D15" s="99"/>
      <c r="E15" s="104"/>
      <c r="F15" s="115"/>
      <c r="G15" s="104"/>
      <c r="H15" s="116"/>
      <c r="I15" s="106"/>
    </row>
    <row r="16" spans="1:9" ht="12.75">
      <c r="A16" s="106"/>
      <c r="B16" s="106"/>
      <c r="C16" s="106"/>
      <c r="D16" s="117"/>
      <c r="E16" s="104"/>
      <c r="F16" s="115"/>
      <c r="G16" s="104"/>
      <c r="H16" s="116"/>
      <c r="I16" s="106"/>
    </row>
    <row r="17" spans="1:9" ht="12.75">
      <c r="A17" s="106"/>
      <c r="B17" s="106"/>
      <c r="C17" s="106"/>
      <c r="D17" s="106"/>
      <c r="E17" s="106"/>
      <c r="F17" s="106"/>
      <c r="G17" s="101"/>
      <c r="H17" s="106"/>
      <c r="I17" s="106"/>
    </row>
    <row r="18" spans="1:9" ht="12.75">
      <c r="A18" s="106"/>
      <c r="B18" s="106"/>
      <c r="C18" s="106"/>
      <c r="D18" s="106"/>
      <c r="E18" s="106"/>
      <c r="F18" s="106"/>
      <c r="G18" s="106"/>
      <c r="H18" s="106"/>
      <c r="I18" s="106"/>
    </row>
    <row r="19" spans="1:9" ht="12.75">
      <c r="A19" s="104"/>
      <c r="B19" s="104"/>
      <c r="C19" s="104"/>
      <c r="D19" s="104"/>
      <c r="E19" s="104"/>
      <c r="F19" s="104"/>
      <c r="G19" s="117"/>
      <c r="H19" s="104"/>
      <c r="I19" s="106"/>
    </row>
    <row r="20" spans="1:9" ht="12.75">
      <c r="A20" s="106"/>
      <c r="B20" s="104"/>
      <c r="C20" s="143" t="s">
        <v>20</v>
      </c>
      <c r="D20" s="106"/>
      <c r="E20" s="143" t="s">
        <v>22</v>
      </c>
      <c r="F20" s="104"/>
      <c r="G20" s="143" t="s">
        <v>21</v>
      </c>
      <c r="H20" s="104"/>
      <c r="I20" s="106"/>
    </row>
    <row r="21" spans="1:9" ht="12.75">
      <c r="A21" s="106"/>
      <c r="B21" s="118"/>
      <c r="C21" s="144"/>
      <c r="D21" s="106"/>
      <c r="E21" s="144"/>
      <c r="F21" s="119"/>
      <c r="G21" s="144"/>
      <c r="H21" s="120"/>
      <c r="I21" s="106"/>
    </row>
    <row r="22" spans="1:9" ht="12.75">
      <c r="A22" s="106"/>
      <c r="B22" s="118"/>
      <c r="C22" s="104"/>
      <c r="D22" s="99"/>
      <c r="E22" s="104"/>
      <c r="F22" s="115"/>
      <c r="G22" s="104"/>
      <c r="H22" s="121"/>
      <c r="I22" s="106"/>
    </row>
    <row r="23" spans="1:9" ht="12.75">
      <c r="A23" s="106" t="s">
        <v>51</v>
      </c>
      <c r="B23" s="106"/>
      <c r="C23" s="100">
        <v>0.0493</v>
      </c>
      <c r="D23" s="101"/>
      <c r="E23" s="102">
        <v>0.0064</v>
      </c>
      <c r="F23" s="109"/>
      <c r="G23" s="102">
        <f>C23*E23</f>
        <v>0.00031552</v>
      </c>
      <c r="H23" s="122"/>
      <c r="I23" s="106"/>
    </row>
    <row r="24" spans="1:9" ht="12.75">
      <c r="A24" s="106" t="s">
        <v>52</v>
      </c>
      <c r="B24" s="106"/>
      <c r="C24" s="103">
        <v>0.4151</v>
      </c>
      <c r="D24" s="104"/>
      <c r="E24" s="100">
        <v>0.03782</v>
      </c>
      <c r="F24" s="104"/>
      <c r="G24" s="100">
        <f>C24*E24</f>
        <v>0.015699082</v>
      </c>
      <c r="H24" s="106"/>
      <c r="I24" s="106"/>
    </row>
    <row r="25" spans="1:9" ht="12.75">
      <c r="A25" s="106" t="s">
        <v>53</v>
      </c>
      <c r="B25" s="106"/>
      <c r="C25" s="105">
        <v>0.5356</v>
      </c>
      <c r="D25" s="106"/>
      <c r="E25" s="102">
        <v>0.105</v>
      </c>
      <c r="F25" s="106"/>
      <c r="G25" s="98">
        <f>C25*E25</f>
        <v>0.056237999999999996</v>
      </c>
      <c r="H25" s="106"/>
      <c r="I25" s="106"/>
    </row>
    <row r="26" spans="1:9" ht="12.75">
      <c r="A26" s="106"/>
      <c r="B26" s="106"/>
      <c r="C26" s="103"/>
      <c r="D26" s="106"/>
      <c r="E26" s="102"/>
      <c r="F26" s="106"/>
      <c r="G26" s="100"/>
      <c r="H26" s="106"/>
      <c r="I26" s="106"/>
    </row>
    <row r="27" spans="1:9" ht="12.75">
      <c r="A27" s="106" t="s">
        <v>23</v>
      </c>
      <c r="B27" s="106"/>
      <c r="C27" s="123">
        <f>SUM(C23:C25)</f>
        <v>1</v>
      </c>
      <c r="D27" s="106"/>
      <c r="E27" s="107"/>
      <c r="F27" s="106"/>
      <c r="G27" s="102">
        <f>SUM(G23:G25)</f>
        <v>0.072252602</v>
      </c>
      <c r="H27" s="106"/>
      <c r="I27" s="106"/>
    </row>
    <row r="28" spans="1:9" ht="12.75">
      <c r="A28" s="106"/>
      <c r="B28" s="106"/>
      <c r="C28" s="106"/>
      <c r="D28" s="106"/>
      <c r="E28" s="106"/>
      <c r="F28" s="106"/>
      <c r="G28" s="101"/>
      <c r="H28" s="106"/>
      <c r="I28" s="106"/>
    </row>
    <row r="29" spans="1:9" ht="12.75">
      <c r="A29" s="106"/>
      <c r="B29" s="106"/>
      <c r="C29" s="106"/>
      <c r="D29" s="106"/>
      <c r="E29" s="106"/>
      <c r="F29" s="106"/>
      <c r="G29" s="106"/>
      <c r="H29" s="106"/>
      <c r="I29" s="106"/>
    </row>
    <row r="30" spans="1:9" ht="12.75">
      <c r="A30" s="106" t="s">
        <v>56</v>
      </c>
      <c r="B30" s="106"/>
      <c r="C30" s="106"/>
      <c r="D30" s="106"/>
      <c r="E30" s="106"/>
      <c r="F30" s="124">
        <f>0.389</f>
        <v>0.389</v>
      </c>
      <c r="G30" s="125"/>
      <c r="H30" s="106"/>
      <c r="I30" s="106"/>
    </row>
    <row r="31" spans="1:9" ht="12.75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7" ht="12.75">
      <c r="A32" s="3" t="s">
        <v>39</v>
      </c>
      <c r="B32" s="17" t="str">
        <f>CONCATENATE("  (",TEXT(F30,"0.0000"),"/(1-",TEXT(F30,"0.0000"),") x ",TEXT(G25,"0.0000")," = ",TEXT(J9,"0.00%"))</f>
        <v>  (0.3890/(1-0.3890) x 0.0562 = 3.58%</v>
      </c>
      <c r="G32" s="1"/>
    </row>
    <row r="34" spans="1:7" ht="12.75">
      <c r="A34" s="3"/>
      <c r="G34" s="1"/>
    </row>
    <row r="36" spans="2:7" ht="12.75">
      <c r="B36" s="3"/>
      <c r="G36" s="4"/>
    </row>
    <row r="37" ht="12.75">
      <c r="B37" s="3"/>
    </row>
    <row r="38" spans="2:8" ht="12.75">
      <c r="B38" s="3"/>
      <c r="H38" s="6"/>
    </row>
    <row r="39" ht="12.75">
      <c r="C39" s="3"/>
    </row>
    <row r="41" ht="12.75">
      <c r="A41" s="3"/>
    </row>
    <row r="42" ht="12.75">
      <c r="A42" s="3"/>
    </row>
    <row r="43" ht="12.75">
      <c r="G43" s="5"/>
    </row>
    <row r="45" ht="12.75">
      <c r="H45" s="6"/>
    </row>
    <row r="47" ht="12.75">
      <c r="H47" s="7"/>
    </row>
  </sheetData>
  <sheetProtection/>
  <mergeCells count="6">
    <mergeCell ref="C20:C21"/>
    <mergeCell ref="E20:E21"/>
    <mergeCell ref="G20:G21"/>
    <mergeCell ref="A1:I1"/>
    <mergeCell ref="A3:I3"/>
    <mergeCell ref="A2:I2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&amp;R&amp;"Arial,Bold"&amp;12Rebuttal Exhibit MJB-2
Page 2 of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50"/>
  <sheetViews>
    <sheetView view="pageBreakPreview" zoomScale="145" zoomScaleSheetLayoutView="145" zoomScalePageLayoutView="0" workbookViewId="0" topLeftCell="A1">
      <selection activeCell="A37" sqref="A37"/>
    </sheetView>
  </sheetViews>
  <sheetFormatPr defaultColWidth="9.140625" defaultRowHeight="12.75"/>
  <cols>
    <col min="1" max="1" width="14.28125" style="0" customWidth="1"/>
    <col min="4" max="4" width="8.00390625" style="0" bestFit="1" customWidth="1"/>
    <col min="6" max="6" width="12.8515625" style="0" bestFit="1" customWidth="1"/>
    <col min="7" max="7" width="9.57421875" style="0" bestFit="1" customWidth="1"/>
    <col min="8" max="8" width="16.7109375" style="0" bestFit="1" customWidth="1"/>
    <col min="9" max="9" width="12.28125" style="0" bestFit="1" customWidth="1"/>
    <col min="11" max="11" width="10.57421875" style="0" customWidth="1"/>
    <col min="12" max="12" width="15.57421875" style="0" bestFit="1" customWidth="1"/>
  </cols>
  <sheetData>
    <row r="1" spans="1:8" ht="12.75">
      <c r="A1" s="130" t="s">
        <v>48</v>
      </c>
      <c r="B1" s="130"/>
      <c r="C1" s="130"/>
      <c r="D1" s="130"/>
      <c r="E1" s="130"/>
      <c r="F1" s="130"/>
      <c r="G1" s="130"/>
      <c r="H1" s="130"/>
    </row>
    <row r="2" spans="1:8" ht="12.75">
      <c r="A2" s="132"/>
      <c r="B2" s="132"/>
      <c r="C2" s="132"/>
      <c r="D2" s="132"/>
      <c r="E2" s="132"/>
      <c r="F2" s="132"/>
      <c r="G2" s="132"/>
      <c r="H2" s="132"/>
    </row>
    <row r="3" spans="1:8" ht="12.75">
      <c r="A3" s="131" t="s">
        <v>41</v>
      </c>
      <c r="B3" s="131"/>
      <c r="C3" s="131"/>
      <c r="D3" s="131"/>
      <c r="E3" s="131"/>
      <c r="F3" s="131"/>
      <c r="G3" s="131"/>
      <c r="H3" s="131"/>
    </row>
    <row r="4" spans="1:8" ht="12.75">
      <c r="A4" s="131" t="s">
        <v>66</v>
      </c>
      <c r="B4" s="131"/>
      <c r="C4" s="131"/>
      <c r="D4" s="131"/>
      <c r="E4" s="131"/>
      <c r="F4" s="131"/>
      <c r="G4" s="131"/>
      <c r="H4" s="131"/>
    </row>
    <row r="5" ht="12.75">
      <c r="F5" s="8"/>
    </row>
    <row r="7" ht="12.75">
      <c r="J7" s="3" t="s">
        <v>58</v>
      </c>
    </row>
    <row r="8" spans="3:6" ht="12.75">
      <c r="C8" s="23"/>
      <c r="D8" s="23"/>
      <c r="E8" s="23"/>
      <c r="F8" s="23"/>
    </row>
    <row r="9" spans="1:13" ht="12.75">
      <c r="A9" s="3" t="s">
        <v>40</v>
      </c>
      <c r="J9">
        <v>593001</v>
      </c>
      <c r="K9" s="3" t="s">
        <v>57</v>
      </c>
      <c r="L9" s="33">
        <v>45882.13</v>
      </c>
      <c r="M9" s="6">
        <f>L9/$L$17</f>
        <v>0.0013767038976240538</v>
      </c>
    </row>
    <row r="10" spans="2:13" ht="12.75">
      <c r="B10" s="3" t="s">
        <v>24</v>
      </c>
      <c r="E10" s="1"/>
      <c r="F10" s="51">
        <f>L9</f>
        <v>45882.13</v>
      </c>
      <c r="K10" s="3" t="s">
        <v>61</v>
      </c>
      <c r="L10" s="33">
        <v>573696.49</v>
      </c>
      <c r="M10" s="6">
        <f>L10/$L$17</f>
        <v>0.01721389555882081</v>
      </c>
    </row>
    <row r="11" spans="2:13" ht="12.75" customHeight="1">
      <c r="B11" s="22" t="s">
        <v>25</v>
      </c>
      <c r="C11" s="11"/>
      <c r="D11" s="22"/>
      <c r="E11" s="12"/>
      <c r="F11" s="49">
        <f>L13</f>
        <v>406135.2100000001</v>
      </c>
      <c r="G11" s="11"/>
      <c r="H11" s="22"/>
      <c r="K11" t="s">
        <v>18</v>
      </c>
      <c r="L11" s="15">
        <f>SUM(L9:L10)</f>
        <v>619578.62</v>
      </c>
      <c r="M11" s="6">
        <f>SUM(M9:M10)</f>
        <v>0.018590599456444864</v>
      </c>
    </row>
    <row r="12" spans="2:13" ht="12.75">
      <c r="B12" s="22"/>
      <c r="C12" s="11"/>
      <c r="D12" s="22"/>
      <c r="E12" s="12"/>
      <c r="F12" s="22"/>
      <c r="G12" s="37"/>
      <c r="H12" s="126">
        <f>SUM(F10:F11)</f>
        <v>452017.3400000001</v>
      </c>
      <c r="M12" s="6"/>
    </row>
    <row r="13" spans="7:13" ht="12.75">
      <c r="G13" s="37"/>
      <c r="H13" s="37"/>
      <c r="J13">
        <v>593004</v>
      </c>
      <c r="K13" s="3" t="s">
        <v>57</v>
      </c>
      <c r="L13" s="33">
        <v>406135.2100000001</v>
      </c>
      <c r="M13" s="6">
        <f>L13/$L$17</f>
        <v>0.012186180688851274</v>
      </c>
    </row>
    <row r="14" spans="1:13" ht="12.75">
      <c r="A14" s="3" t="s">
        <v>26</v>
      </c>
      <c r="G14" s="37"/>
      <c r="H14" s="127">
        <v>100042630.74999996</v>
      </c>
      <c r="K14" s="3" t="s">
        <v>61</v>
      </c>
      <c r="L14" s="33">
        <v>15682197.63</v>
      </c>
      <c r="M14" s="6">
        <f>L14/$L$17</f>
        <v>0.47054795844333513</v>
      </c>
    </row>
    <row r="15" spans="7:13" ht="12.75">
      <c r="G15" s="37"/>
      <c r="H15" s="37"/>
      <c r="K15" s="3" t="s">
        <v>18</v>
      </c>
      <c r="L15" s="15">
        <f>SUM(L13:L14)</f>
        <v>16088332.840000002</v>
      </c>
      <c r="M15" s="6">
        <f>SUM(M13:M14)</f>
        <v>0.48273413913218644</v>
      </c>
    </row>
    <row r="16" spans="1:9" ht="12.75">
      <c r="A16" s="3" t="s">
        <v>27</v>
      </c>
      <c r="G16" s="37"/>
      <c r="H16" s="128">
        <v>103261735</v>
      </c>
      <c r="I16" s="31">
        <f>H12/H14*H16</f>
        <v>466562.0488841946</v>
      </c>
    </row>
    <row r="17" spans="2:12" ht="12.75">
      <c r="B17" s="10"/>
      <c r="C17" s="25"/>
      <c r="D17" s="24"/>
      <c r="E17" s="25"/>
      <c r="F17" s="29"/>
      <c r="G17" s="52"/>
      <c r="H17" s="74"/>
      <c r="J17">
        <v>593</v>
      </c>
      <c r="K17" s="3" t="s">
        <v>18</v>
      </c>
      <c r="L17" s="14">
        <v>33327522.41</v>
      </c>
    </row>
    <row r="18" spans="1:8" ht="12.75">
      <c r="A18" s="2"/>
      <c r="B18" s="10"/>
      <c r="C18" s="25"/>
      <c r="D18" s="24"/>
      <c r="E18" s="25"/>
      <c r="F18" s="26"/>
      <c r="G18" s="52"/>
      <c r="H18" s="70"/>
    </row>
    <row r="19" spans="1:10" ht="12.75">
      <c r="A19" s="2" t="s">
        <v>28</v>
      </c>
      <c r="B19" s="25"/>
      <c r="C19" s="25"/>
      <c r="D19" s="27"/>
      <c r="E19" s="25"/>
      <c r="F19" s="26"/>
      <c r="G19" s="52"/>
      <c r="H19" s="70"/>
      <c r="J19" s="3" t="s">
        <v>59</v>
      </c>
    </row>
    <row r="20" spans="1:12" ht="12.75">
      <c r="A20" s="3"/>
      <c r="G20" s="51"/>
      <c r="H20" s="37"/>
      <c r="J20">
        <v>593</v>
      </c>
      <c r="K20" s="3" t="s">
        <v>18</v>
      </c>
      <c r="L20" s="14">
        <v>29550316.32337711</v>
      </c>
    </row>
    <row r="21" spans="1:11" ht="12.75">
      <c r="A21" s="17" t="str">
        <f>CONCATENATE("  (",TEXT(H12,"$0,0"),"/",TEXT(H14,"$0,0"),") x ",TEXT(H16,"$0,0")," = ",TEXT(I16,"$0,0"))</f>
        <v>  ($452,017/$100,042,631) x $103,261,735 = $466,562</v>
      </c>
      <c r="G21" s="37"/>
      <c r="H21" s="37"/>
      <c r="J21" s="3" t="s">
        <v>60</v>
      </c>
      <c r="K21" s="3"/>
    </row>
    <row r="22" spans="2:12" ht="12.75">
      <c r="B22" s="17"/>
      <c r="G22" s="51"/>
      <c r="H22" s="37"/>
      <c r="J22">
        <v>593001</v>
      </c>
      <c r="K22" s="3" t="s">
        <v>57</v>
      </c>
      <c r="L22" s="14">
        <f>L20*M9</f>
        <v>40682.035658416964</v>
      </c>
    </row>
    <row r="23" spans="7:12" ht="12.75">
      <c r="G23" s="37"/>
      <c r="H23" s="37"/>
      <c r="K23" s="3" t="s">
        <v>18</v>
      </c>
      <c r="L23" s="14">
        <f>L20*M11</f>
        <v>549358.0945791483</v>
      </c>
    </row>
    <row r="24" spans="1:12" ht="12.75">
      <c r="A24" s="2" t="s">
        <v>29</v>
      </c>
      <c r="B24" s="10"/>
      <c r="C24" s="25"/>
      <c r="D24" s="24"/>
      <c r="E24" s="25"/>
      <c r="F24" s="29"/>
      <c r="G24" s="83"/>
      <c r="H24" s="74"/>
      <c r="L24" s="14"/>
    </row>
    <row r="25" spans="2:12" ht="12.75">
      <c r="B25" s="25"/>
      <c r="C25" s="25"/>
      <c r="D25" s="30"/>
      <c r="E25" s="25"/>
      <c r="F25" s="26"/>
      <c r="G25" s="52"/>
      <c r="H25" s="75"/>
      <c r="J25">
        <v>593004</v>
      </c>
      <c r="K25" s="3" t="s">
        <v>57</v>
      </c>
      <c r="L25" s="14">
        <f>L20*M13</f>
        <v>360105.49412938475</v>
      </c>
    </row>
    <row r="26" spans="1:12" ht="12.75">
      <c r="A26" s="3" t="s">
        <v>30</v>
      </c>
      <c r="B26" s="25"/>
      <c r="C26" s="25"/>
      <c r="D26" s="27"/>
      <c r="E26" s="10"/>
      <c r="F26" s="26"/>
      <c r="G26" s="52"/>
      <c r="H26" s="84"/>
      <c r="K26" s="3" t="s">
        <v>18</v>
      </c>
      <c r="L26" s="14">
        <f>L20*M15</f>
        <v>14264946.511449246</v>
      </c>
    </row>
    <row r="27" spans="2:8" ht="12.75">
      <c r="B27" s="3" t="s">
        <v>31</v>
      </c>
      <c r="G27" s="37"/>
      <c r="H27" s="85">
        <v>619579</v>
      </c>
    </row>
    <row r="28" spans="1:8" ht="12.75">
      <c r="A28" s="3" t="s">
        <v>32</v>
      </c>
      <c r="G28" s="37"/>
      <c r="H28" s="37"/>
    </row>
    <row r="29" spans="1:8" ht="12.75">
      <c r="A29" s="2"/>
      <c r="B29" s="3" t="s">
        <v>33</v>
      </c>
      <c r="G29" s="37"/>
      <c r="H29" s="86">
        <v>16088333</v>
      </c>
    </row>
    <row r="30" spans="1:8" ht="12.75">
      <c r="A30" s="3" t="s">
        <v>34</v>
      </c>
      <c r="G30" s="37"/>
      <c r="H30" s="129">
        <f>I16</f>
        <v>466562.0488841946</v>
      </c>
    </row>
    <row r="31" spans="2:8" ht="12.75">
      <c r="B31" s="3" t="s">
        <v>18</v>
      </c>
      <c r="G31" s="4"/>
      <c r="H31" s="15">
        <f>SUM(H27:H30)</f>
        <v>17174474.048884194</v>
      </c>
    </row>
    <row r="32" ht="12.75">
      <c r="B32" s="3"/>
    </row>
    <row r="33" spans="2:7" ht="12.75">
      <c r="B33" s="3"/>
      <c r="G33" s="5"/>
    </row>
    <row r="34" spans="1:3" ht="12.75">
      <c r="A34" s="2" t="s">
        <v>35</v>
      </c>
      <c r="C34" s="3"/>
    </row>
    <row r="35" ht="12.75">
      <c r="G35" s="1"/>
    </row>
    <row r="36" spans="1:8" ht="12.75">
      <c r="A36" s="32">
        <f>H31</f>
        <v>17174474.048884194</v>
      </c>
      <c r="B36" s="3" t="s">
        <v>36</v>
      </c>
      <c r="E36" s="140" t="s">
        <v>38</v>
      </c>
      <c r="H36" s="147">
        <f>A36/A37</f>
        <v>0.05228627083838518</v>
      </c>
    </row>
    <row r="37" spans="1:8" ht="12.75">
      <c r="A37" s="148">
        <v>328470051</v>
      </c>
      <c r="B37" s="3" t="s">
        <v>37</v>
      </c>
      <c r="E37" s="141"/>
      <c r="G37" s="1"/>
      <c r="H37" s="147"/>
    </row>
    <row r="39" spans="2:7" ht="12.75">
      <c r="B39" s="3"/>
      <c r="G39" s="4"/>
    </row>
    <row r="40" ht="12.75">
      <c r="B40" s="3"/>
    </row>
    <row r="41" spans="2:8" ht="12.75">
      <c r="B41" s="3"/>
      <c r="H41" s="6"/>
    </row>
    <row r="42" ht="12.75">
      <c r="C42" s="3"/>
    </row>
    <row r="44" ht="12.75">
      <c r="A44" s="3"/>
    </row>
    <row r="45" ht="12.75">
      <c r="A45" s="3"/>
    </row>
    <row r="46" ht="12.75">
      <c r="G46" s="5"/>
    </row>
    <row r="48" ht="12.75">
      <c r="H48" s="6"/>
    </row>
    <row r="50" ht="12.75">
      <c r="H50" s="7"/>
    </row>
  </sheetData>
  <sheetProtection/>
  <mergeCells count="6">
    <mergeCell ref="E36:E37"/>
    <mergeCell ref="H36:H37"/>
    <mergeCell ref="A1:H1"/>
    <mergeCell ref="A3:H3"/>
    <mergeCell ref="A4:H4"/>
    <mergeCell ref="A2:H2"/>
  </mergeCells>
  <printOptions/>
  <pageMargins left="0.75" right="0.75" top="1" bottom="1" header="0.5" footer="0.5"/>
  <pageSetup horizontalDpi="600" verticalDpi="600" orientation="portrait" r:id="rId1"/>
  <headerFooter alignWithMargins="0">
    <oddHeader>&amp;R&amp;"Arial,Bold"&amp;12Rebuttal Exhibit MJB-2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Marty Blake</cp:lastModifiedBy>
  <cp:lastPrinted>2015-04-07T17:23:26Z</cp:lastPrinted>
  <dcterms:created xsi:type="dcterms:W3CDTF">2002-01-10T15:58:51Z</dcterms:created>
  <dcterms:modified xsi:type="dcterms:W3CDTF">2015-04-07T17:24:09Z</dcterms:modified>
  <cp:category/>
  <cp:version/>
  <cp:contentType/>
  <cp:contentStatus/>
</cp:coreProperties>
</file>