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365" activeTab="2"/>
  </bookViews>
  <sheets>
    <sheet name="Rev. Req." sheetId="7" r:id="rId1"/>
    <sheet name="ROE" sheetId="9" r:id="rId2"/>
    <sheet name="Rate of Return" sheetId="6" r:id="rId3"/>
    <sheet name="Summary of Oper. Inc. Adj." sheetId="8" r:id="rId4"/>
    <sheet name="Cane Run 4, 5, and 6" sheetId="1" r:id="rId5"/>
    <sheet name="Labor" sheetId="2" r:id="rId6"/>
    <sheet name="Pension" sheetId="4" r:id="rId7"/>
    <sheet name="Depr" sheetId="3" r:id="rId8"/>
    <sheet name="Slippage" sheetId="5" r:id="rId9"/>
  </sheets>
  <definedNames>
    <definedName name="_xlnm.Print_Area" localSheetId="4">'Cane Run 4, 5, and 6'!$A$1:$I$30</definedName>
    <definedName name="_xlnm.Print_Area" localSheetId="2">'Rate of Return'!$A$1:$H$38</definedName>
    <definedName name="_xlnm.Print_Area" localSheetId="1">ROE!$A$1:$H$33</definedName>
    <definedName name="_xlnm.Print_Area" localSheetId="8">Slippage!$A$1:$K$46</definedName>
    <definedName name="_xlnm.Print_Area" localSheetId="3">'Summary of Oper. Inc. Adj.'!$A$1:$F$25</definedName>
  </definedNames>
  <calcPr calcId="145621"/>
</workbook>
</file>

<file path=xl/calcChain.xml><?xml version="1.0" encoding="utf-8"?>
<calcChain xmlns="http://schemas.openxmlformats.org/spreadsheetml/2006/main">
  <c r="F24" i="9" l="1"/>
  <c r="E20" i="9"/>
  <c r="F16" i="9"/>
  <c r="D16" i="9"/>
  <c r="D18" i="9" s="1"/>
  <c r="D22" i="9" s="1"/>
  <c r="D26" i="9" s="1"/>
  <c r="F14" i="9"/>
  <c r="F18" i="9" s="1"/>
  <c r="F22" i="9" s="1"/>
  <c r="F26" i="9" s="1"/>
  <c r="E26" i="9" l="1"/>
  <c r="F24" i="7"/>
  <c r="D14" i="8"/>
  <c r="F16" i="7"/>
  <c r="F14" i="7"/>
  <c r="D16" i="7"/>
  <c r="E24" i="1" l="1"/>
  <c r="G16" i="1"/>
  <c r="G20" i="1" s="1"/>
  <c r="D16" i="1"/>
  <c r="D20" i="1" s="1"/>
  <c r="E20" i="1" l="1"/>
  <c r="G23" i="2" l="1"/>
  <c r="G22" i="2"/>
  <c r="G21" i="2"/>
  <c r="G20" i="2"/>
  <c r="J20" i="2"/>
  <c r="J23" i="2"/>
  <c r="J22" i="2"/>
  <c r="J21" i="2"/>
  <c r="J24" i="2" l="1"/>
  <c r="G16" i="4" l="1"/>
  <c r="D16" i="4"/>
  <c r="F45" i="5" l="1"/>
  <c r="D22" i="8" s="1"/>
  <c r="F18" i="7"/>
  <c r="D18" i="7"/>
  <c r="D22" i="7" s="1"/>
  <c r="D26" i="7" s="1"/>
  <c r="G17" i="4" l="1"/>
  <c r="D17" i="4"/>
  <c r="E31" i="6"/>
  <c r="E29" i="6"/>
  <c r="E27" i="6"/>
  <c r="E17" i="4" l="1"/>
  <c r="E21" i="4" s="1"/>
  <c r="D20" i="8" s="1"/>
  <c r="E33" i="6"/>
  <c r="C33" i="6"/>
  <c r="E18" i="6"/>
  <c r="C18" i="6"/>
  <c r="G15" i="3" l="1"/>
  <c r="D15" i="3"/>
  <c r="E15" i="3" l="1"/>
  <c r="E19" i="3" s="1"/>
  <c r="D21" i="8" s="1"/>
  <c r="F23" i="2" l="1"/>
  <c r="F22" i="2"/>
  <c r="F21" i="2"/>
  <c r="F20" i="2"/>
  <c r="F19" i="2"/>
  <c r="G19" i="2" s="1"/>
  <c r="E24" i="2"/>
  <c r="D24" i="2"/>
  <c r="G24" i="2" l="1"/>
  <c r="H24" i="2" s="1"/>
  <c r="H28" i="2" s="1"/>
  <c r="F24" i="2"/>
  <c r="D19" i="8" l="1"/>
  <c r="D18" i="8"/>
  <c r="D24" i="8" l="1"/>
  <c r="F20" i="7" s="1"/>
  <c r="E20" i="7" s="1"/>
  <c r="F22" i="7" l="1"/>
  <c r="F26" i="7" s="1"/>
  <c r="E26" i="7" s="1"/>
</calcChain>
</file>

<file path=xl/sharedStrings.xml><?xml version="1.0" encoding="utf-8"?>
<sst xmlns="http://schemas.openxmlformats.org/spreadsheetml/2006/main" count="172" uniqueCount="85">
  <si>
    <t>Test Period June 30,2016</t>
  </si>
  <si>
    <t>Case No.  20014-00371</t>
  </si>
  <si>
    <t>Sch. FWR-3</t>
  </si>
  <si>
    <t>Adjustment</t>
  </si>
  <si>
    <t>AG</t>
  </si>
  <si>
    <t>Total</t>
  </si>
  <si>
    <t>Composite After Tax Rate</t>
  </si>
  <si>
    <t>(1) - Response to KIUC 1.7</t>
  </si>
  <si>
    <t>Forecast Pro-Forma Labor Expense</t>
  </si>
  <si>
    <t>Customer Service</t>
  </si>
  <si>
    <t>Transmission</t>
  </si>
  <si>
    <t>Increased Labor Costs</t>
  </si>
  <si>
    <t>Distribution</t>
  </si>
  <si>
    <t>Net Increase</t>
  </si>
  <si>
    <t>Reduced Outside Services Offset</t>
  </si>
  <si>
    <t>Pension Expense</t>
  </si>
  <si>
    <t>Cane Run Depreciation Expense</t>
  </si>
  <si>
    <t>Cane Run</t>
  </si>
  <si>
    <t>(1) - Response to PSC 1-59</t>
  </si>
  <si>
    <t>SHORT-TERM DEBT</t>
  </si>
  <si>
    <t>LONG-TERM DEBT</t>
  </si>
  <si>
    <t>COMMON EQUITY</t>
  </si>
  <si>
    <t>Capitalization Ratio</t>
  </si>
  <si>
    <t>Cost Rate</t>
  </si>
  <si>
    <t>Weighted Cost Rate</t>
  </si>
  <si>
    <t>AG Recommended</t>
  </si>
  <si>
    <t>Rate of Return</t>
  </si>
  <si>
    <t>Sch. FWR-2</t>
  </si>
  <si>
    <t>Page 2 of 6</t>
  </si>
  <si>
    <t>Page 3 of 6</t>
  </si>
  <si>
    <t>Page 4 of 6</t>
  </si>
  <si>
    <t>Page 5 of 6</t>
  </si>
  <si>
    <t>(1) - Response to KIUC 1-20</t>
  </si>
  <si>
    <t>Pension</t>
  </si>
  <si>
    <t>Sch. FWR-1</t>
  </si>
  <si>
    <t>Revenue Requirement</t>
  </si>
  <si>
    <t>Capitalization</t>
  </si>
  <si>
    <t>Required Operating Income</t>
  </si>
  <si>
    <t>Pro-Forma Operating Income</t>
  </si>
  <si>
    <t>Operating Income Deficiency</t>
  </si>
  <si>
    <t>Gross Revenue Conversion Factor</t>
  </si>
  <si>
    <t>Required Revenue Increase</t>
  </si>
  <si>
    <t>Page 1 of 6</t>
  </si>
  <si>
    <t>AG Recommended Operating Income Adjustments</t>
  </si>
  <si>
    <t>Lack of Support for Forecast Headcount</t>
  </si>
  <si>
    <t>Pension at 2014 Level</t>
  </si>
  <si>
    <t>50 Life Span at Cane Run 7</t>
  </si>
  <si>
    <t>Slippage Factor</t>
  </si>
  <si>
    <t>Revenue Conversion Factor</t>
  </si>
  <si>
    <t>Impact on Operating Income</t>
  </si>
  <si>
    <t>AG Pro-Forma Operating Income</t>
  </si>
  <si>
    <t>Reduced Revenue Requirement</t>
  </si>
  <si>
    <t>Administrative Services</t>
  </si>
  <si>
    <t>Case No.  20014-00372</t>
  </si>
  <si>
    <t>Electric Operations</t>
  </si>
  <si>
    <t>Louisville Gas and Electric Company</t>
  </si>
  <si>
    <t>Pro-Form Operating Income</t>
  </si>
  <si>
    <t>(2) - SIT rate of 6.0 and FIT of 35% = 38.9%.  After tax income rate is 1 - 38.9% = 61.1%</t>
  </si>
  <si>
    <t>(4) - SIT rate of 6.0 and FIT of 35% = 38.9%.  After tax income rate is 1 - 38.9% = 61.1%</t>
  </si>
  <si>
    <t>Gross Pension</t>
  </si>
  <si>
    <t>Attributable to Electric</t>
  </si>
  <si>
    <t>Allocated to Electric</t>
  </si>
  <si>
    <t># of Employees</t>
  </si>
  <si>
    <t>Average Cost Per Employee</t>
  </si>
  <si>
    <t>Labor Costs</t>
  </si>
  <si>
    <t xml:space="preserve">Number of Positions </t>
  </si>
  <si>
    <t>Cane Run Employee Count</t>
  </si>
  <si>
    <t>Forecast Cost of New Generation Employees</t>
  </si>
  <si>
    <t>Exhibit AG-3</t>
  </si>
  <si>
    <t>LG&amp;E</t>
  </si>
  <si>
    <t>Information Technology</t>
  </si>
  <si>
    <t>Forecasted Pro-Forma Operating Income Proposed by LG&amp;E</t>
  </si>
  <si>
    <t>Revenue Requirement Impact from Change in Rate of Return</t>
  </si>
  <si>
    <t>Cane Run Labor Expense</t>
  </si>
  <si>
    <t>Sch. FWR-4</t>
  </si>
  <si>
    <t>Sch 4, page 2</t>
  </si>
  <si>
    <t>Sch 4, page 3</t>
  </si>
  <si>
    <t>Sch 4, page 4</t>
  </si>
  <si>
    <t>Sch 4, page 5</t>
  </si>
  <si>
    <t>Sch 4, page 6</t>
  </si>
  <si>
    <t>LG&amp;E Recommended</t>
  </si>
  <si>
    <t>(2) - See responses to Kroger 1-11, 1-12, 1-13, 1-14, 1-15 and PSC 3-7and 3-24</t>
  </si>
  <si>
    <t>NOTES:</t>
  </si>
  <si>
    <t xml:space="preserve">      (1) Response to PSC 1-59,Schedule J</t>
  </si>
  <si>
    <t xml:space="preserve">      (2) Testimony of Dr.J.Randall Woolridge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</si>
</sst>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doubleAccounting"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2" borderId="0" xfId="2" applyNumberFormat="1" applyFont="1" applyFill="1"/>
    <xf numFmtId="165" fontId="3" fillId="2" borderId="0" xfId="2" applyNumberFormat="1" applyFont="1" applyFill="1"/>
    <xf numFmtId="0" fontId="0" fillId="2" borderId="0" xfId="0" applyFill="1" applyAlignment="1">
      <alignment horizontal="right"/>
    </xf>
    <xf numFmtId="165" fontId="0" fillId="2" borderId="0" xfId="0" applyNumberFormat="1" applyFill="1"/>
    <xf numFmtId="43" fontId="0" fillId="2" borderId="0" xfId="1" applyFont="1" applyFill="1"/>
    <xf numFmtId="164" fontId="0" fillId="2" borderId="0" xfId="1" applyNumberFormat="1" applyFont="1" applyFill="1"/>
    <xf numFmtId="9" fontId="0" fillId="2" borderId="0" xfId="3" applyFont="1" applyFill="1"/>
    <xf numFmtId="10" fontId="0" fillId="2" borderId="0" xfId="3" applyNumberFormat="1" applyFont="1" applyFill="1"/>
    <xf numFmtId="166" fontId="0" fillId="2" borderId="0" xfId="3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wrapText="1"/>
    </xf>
    <xf numFmtId="165" fontId="0" fillId="2" borderId="0" xfId="2" applyNumberFormat="1" applyFont="1" applyFill="1" applyAlignment="1">
      <alignment horizontal="right"/>
    </xf>
    <xf numFmtId="164" fontId="0" fillId="2" borderId="0" xfId="0" applyNumberFormat="1" applyFill="1"/>
    <xf numFmtId="164" fontId="0" fillId="2" borderId="0" xfId="1" applyNumberFormat="1" applyFont="1" applyFill="1" applyAlignment="1">
      <alignment horizontal="right" wrapText="1"/>
    </xf>
    <xf numFmtId="10" fontId="5" fillId="2" borderId="0" xfId="3" applyNumberFormat="1" applyFont="1" applyFill="1"/>
    <xf numFmtId="10" fontId="6" fillId="2" borderId="0" xfId="0" applyNumberFormat="1" applyFont="1" applyFill="1"/>
    <xf numFmtId="0" fontId="5" fillId="2" borderId="0" xfId="0" applyFont="1" applyFill="1"/>
    <xf numFmtId="164" fontId="1" fillId="2" borderId="0" xfId="1" applyNumberFormat="1" applyFont="1" applyFill="1" applyBorder="1"/>
    <xf numFmtId="166" fontId="0" fillId="2" borderId="0" xfId="0" applyNumberFormat="1" applyFill="1"/>
    <xf numFmtId="10" fontId="0" fillId="2" borderId="0" xfId="0" applyNumberFormat="1" applyFont="1" applyFill="1"/>
    <xf numFmtId="44" fontId="0" fillId="2" borderId="0" xfId="2" applyNumberFormat="1" applyFont="1" applyFill="1"/>
    <xf numFmtId="167" fontId="1" fillId="2" borderId="0" xfId="1" applyNumberFormat="1" applyFont="1" applyFill="1" applyBorder="1"/>
    <xf numFmtId="166" fontId="0" fillId="2" borderId="0" xfId="3" applyNumberFormat="1" applyFont="1" applyFill="1" applyAlignment="1">
      <alignment horizontal="right"/>
    </xf>
    <xf numFmtId="0" fontId="7" fillId="2" borderId="0" xfId="0" applyFont="1" applyFill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centerContinuous"/>
    </xf>
  </cellXfs>
  <cellStyles count="8">
    <cellStyle name="Comma" xfId="1" builtinId="3"/>
    <cellStyle name="Comma 86" xfId="5"/>
    <cellStyle name="Currency" xfId="2" builtinId="4"/>
    <cellStyle name="Normal" xfId="0" builtinId="0"/>
    <cellStyle name="Normal 48" xfId="4"/>
    <cellStyle name="Percent" xfId="3" builtinId="5"/>
    <cellStyle name="Percent 1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1</xdr:row>
      <xdr:rowOff>63500</xdr:rowOff>
    </xdr:from>
    <xdr:ext cx="1287850" cy="623248"/>
    <xdr:sp macro="" textlink="">
      <xdr:nvSpPr>
        <xdr:cNvPr id="3" name="TextBox 2"/>
        <xdr:cNvSpPr txBox="1"/>
      </xdr:nvSpPr>
      <xdr:spPr>
        <a:xfrm>
          <a:off x="6683375" y="254000"/>
          <a:ext cx="12878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Exhibit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A-3</a:t>
          </a:r>
          <a:endParaRPr lang="en-US" sz="1200" b="1" i="0" u="none" strike="noStrike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Sch.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FWR  - 4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Page 6 of 6</a:t>
          </a:r>
        </a:p>
      </xdr:txBody>
    </xdr:sp>
    <xdr:clientData/>
  </xdr:oneCellAnchor>
  <xdr:twoCellAnchor editAs="oneCell">
    <xdr:from>
      <xdr:col>0</xdr:col>
      <xdr:colOff>158750</xdr:colOff>
      <xdr:row>0</xdr:row>
      <xdr:rowOff>95250</xdr:rowOff>
    </xdr:from>
    <xdr:to>
      <xdr:col>9</xdr:col>
      <xdr:colOff>583393</xdr:colOff>
      <xdr:row>41</xdr:row>
      <xdr:rowOff>179989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95250"/>
          <a:ext cx="6457143" cy="789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="60" zoomScaleNormal="100" workbookViewId="0">
      <selection activeCell="D11" sqref="D11:F11"/>
    </sheetView>
  </sheetViews>
  <sheetFormatPr defaultRowHeight="15" x14ac:dyDescent="0.25"/>
  <cols>
    <col min="2" max="2" width="3.5703125" customWidth="1"/>
    <col min="3" max="3" width="33" customWidth="1"/>
    <col min="4" max="4" width="18.140625" customWidth="1"/>
    <col min="5" max="5" width="14.85546875" customWidth="1"/>
    <col min="6" max="6" width="19.85546875" customWidth="1"/>
    <col min="8" max="8" width="13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 t="s">
        <v>68</v>
      </c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 t="s">
        <v>34</v>
      </c>
    </row>
    <row r="3" spans="1:8" x14ac:dyDescent="0.25">
      <c r="A3" s="1" t="s">
        <v>53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2"/>
      <c r="E5" s="12" t="s">
        <v>55</v>
      </c>
      <c r="F5" s="1"/>
      <c r="G5" s="1"/>
      <c r="H5" s="1"/>
    </row>
    <row r="6" spans="1:8" x14ac:dyDescent="0.25">
      <c r="A6" s="1"/>
      <c r="B6" s="1"/>
      <c r="C6" s="1"/>
      <c r="D6" s="12"/>
      <c r="E6" s="12" t="s">
        <v>54</v>
      </c>
      <c r="F6" s="1"/>
      <c r="G6" s="1"/>
      <c r="H6" s="1"/>
    </row>
    <row r="7" spans="1:8" x14ac:dyDescent="0.25">
      <c r="A7" s="1"/>
      <c r="B7" s="1"/>
      <c r="C7" s="1"/>
      <c r="D7" s="12"/>
      <c r="E7" s="12" t="s">
        <v>35</v>
      </c>
      <c r="F7" s="1"/>
      <c r="G7" s="1"/>
      <c r="H7" s="1"/>
    </row>
    <row r="8" spans="1:8" x14ac:dyDescent="0.25">
      <c r="A8" s="1"/>
      <c r="B8" s="1"/>
      <c r="C8" s="1"/>
      <c r="D8" s="12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47.25" customHeight="1" x14ac:dyDescent="0.25">
      <c r="A11" s="1"/>
      <c r="B11" s="1"/>
      <c r="C11" s="1"/>
      <c r="D11" s="13" t="s">
        <v>80</v>
      </c>
      <c r="E11" s="5" t="s">
        <v>3</v>
      </c>
      <c r="F11" s="13" t="s">
        <v>25</v>
      </c>
      <c r="G11" s="1"/>
      <c r="H11" s="1"/>
    </row>
    <row r="12" spans="1:8" x14ac:dyDescent="0.25">
      <c r="A12" s="1"/>
      <c r="B12" s="1"/>
      <c r="C12" s="1"/>
      <c r="D12" s="8">
        <v>-1</v>
      </c>
      <c r="E12" s="1"/>
      <c r="F12" s="1"/>
      <c r="G12" s="1"/>
      <c r="H12" s="1"/>
    </row>
    <row r="13" spans="1:8" x14ac:dyDescent="0.25">
      <c r="A13" s="1"/>
      <c r="B13" s="1"/>
      <c r="C13" s="1"/>
      <c r="D13" s="8"/>
      <c r="E13" s="1"/>
      <c r="F13" s="1"/>
      <c r="G13" s="1"/>
      <c r="H13" s="1"/>
    </row>
    <row r="14" spans="1:8" x14ac:dyDescent="0.25">
      <c r="A14" s="1">
        <v>1</v>
      </c>
      <c r="B14" s="12"/>
      <c r="C14" s="1" t="s">
        <v>36</v>
      </c>
      <c r="D14" s="20">
        <v>2146046494</v>
      </c>
      <c r="E14" s="1"/>
      <c r="F14" s="20">
        <f>+D14</f>
        <v>2146046494</v>
      </c>
      <c r="G14" s="1"/>
      <c r="H14" s="1"/>
    </row>
    <row r="15" spans="1:8" x14ac:dyDescent="0.25">
      <c r="A15" s="1"/>
      <c r="B15" s="1"/>
      <c r="C15" s="1"/>
      <c r="D15" s="3"/>
      <c r="E15" s="6"/>
      <c r="F15" s="3"/>
      <c r="G15" s="1"/>
      <c r="H15" s="1"/>
    </row>
    <row r="16" spans="1:8" x14ac:dyDescent="0.25">
      <c r="A16" s="1">
        <v>2</v>
      </c>
      <c r="B16" s="1"/>
      <c r="C16" s="1" t="s">
        <v>26</v>
      </c>
      <c r="D16" s="10">
        <f>'Rate of Return'!$E$18</f>
        <v>7.3574321344462387E-2</v>
      </c>
      <c r="E16" s="1"/>
      <c r="F16" s="22">
        <f>'Rate of Return'!$E$33</f>
        <v>6.2966510000000003E-2</v>
      </c>
      <c r="G16" s="1"/>
      <c r="H16" s="1"/>
    </row>
    <row r="17" spans="1:8" x14ac:dyDescent="0.25">
      <c r="A17" s="1"/>
      <c r="B17" s="1"/>
      <c r="C17" s="1"/>
      <c r="D17" s="1"/>
      <c r="E17" s="11"/>
      <c r="F17" s="1"/>
      <c r="G17" s="1"/>
      <c r="H17" s="1"/>
    </row>
    <row r="18" spans="1:8" x14ac:dyDescent="0.25">
      <c r="A18" s="1">
        <v>3</v>
      </c>
      <c r="B18" s="1"/>
      <c r="C18" s="1" t="s">
        <v>37</v>
      </c>
      <c r="D18" s="8">
        <f>+D14*D16</f>
        <v>157893914.36971286</v>
      </c>
      <c r="E18" s="1"/>
      <c r="F18" s="8">
        <f>+F14*F16</f>
        <v>135129058.02491593</v>
      </c>
      <c r="G18" s="1"/>
      <c r="H18" s="1"/>
    </row>
    <row r="19" spans="1:8" x14ac:dyDescent="0.25">
      <c r="A19" s="1"/>
      <c r="B19" s="1"/>
      <c r="C19" s="1"/>
      <c r="D19" s="1"/>
      <c r="E19" s="15"/>
      <c r="F19" s="1"/>
      <c r="G19" s="1"/>
      <c r="H19" s="1"/>
    </row>
    <row r="20" spans="1:8" x14ac:dyDescent="0.25">
      <c r="A20" s="1">
        <v>4</v>
      </c>
      <c r="B20" s="1"/>
      <c r="C20" s="1" t="s">
        <v>38</v>
      </c>
      <c r="D20" s="8">
        <v>139066100</v>
      </c>
      <c r="E20" s="15">
        <f>+F20-D20</f>
        <v>14057567.178660303</v>
      </c>
      <c r="F20" s="8">
        <f>'Summary of Oper. Inc. Adj.'!$D$24</f>
        <v>153123667.1786603</v>
      </c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>
        <v>5</v>
      </c>
      <c r="B22" s="1"/>
      <c r="C22" s="1" t="s">
        <v>39</v>
      </c>
      <c r="D22" s="15">
        <f>+D18-D20</f>
        <v>18827814.369712859</v>
      </c>
      <c r="E22" s="15"/>
      <c r="F22" s="15">
        <f>+F18-F20</f>
        <v>-17994609.15374437</v>
      </c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>
        <v>6</v>
      </c>
      <c r="B24" s="1"/>
      <c r="C24" s="1" t="s">
        <v>40</v>
      </c>
      <c r="D24" s="21">
        <v>1.608581</v>
      </c>
      <c r="E24" s="1"/>
      <c r="F24" s="24">
        <f>+D24</f>
        <v>1.608581</v>
      </c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>
        <v>7</v>
      </c>
      <c r="B26" s="1"/>
      <c r="C26" s="1" t="s">
        <v>41</v>
      </c>
      <c r="D26" s="8">
        <f>+D22*D24</f>
        <v>30286064.466647081</v>
      </c>
      <c r="E26" s="15">
        <f>+F26-D26</f>
        <v>-59231850.853786349</v>
      </c>
      <c r="F26" s="8">
        <f>+F22*F24</f>
        <v>-28945786.387139272</v>
      </c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8"/>
      <c r="G29" s="1"/>
      <c r="H29" s="1"/>
    </row>
    <row r="31" spans="1:8" x14ac:dyDescent="0.25">
      <c r="F31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view="pageBreakPreview" zoomScale="60" zoomScaleNormal="100" workbookViewId="0">
      <selection activeCell="D11" sqref="D11:F11"/>
    </sheetView>
  </sheetViews>
  <sheetFormatPr defaultRowHeight="15" x14ac:dyDescent="0.25"/>
  <cols>
    <col min="2" max="2" width="3.140625" customWidth="1"/>
    <col min="3" max="3" width="37.140625" customWidth="1"/>
    <col min="4" max="4" width="16.42578125" customWidth="1"/>
    <col min="5" max="5" width="14.7109375" customWidth="1"/>
    <col min="6" max="6" width="17.85546875" customWidth="1"/>
    <col min="8" max="8" width="14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 t="s">
        <v>68</v>
      </c>
      <c r="I1" s="1"/>
      <c r="J1" s="1"/>
      <c r="K1" s="1"/>
      <c r="L1" s="1"/>
      <c r="M1" s="1"/>
    </row>
    <row r="2" spans="1:13" x14ac:dyDescent="0.25">
      <c r="A2" s="1" t="s">
        <v>0</v>
      </c>
      <c r="B2" s="1"/>
      <c r="C2" s="1"/>
      <c r="D2" s="1"/>
      <c r="E2" s="1"/>
      <c r="F2" s="1"/>
      <c r="G2" s="1"/>
      <c r="H2" s="1" t="s">
        <v>27</v>
      </c>
      <c r="I2" s="1"/>
      <c r="J2" s="1"/>
      <c r="K2" s="1"/>
      <c r="L2" s="1"/>
      <c r="M2" s="1"/>
    </row>
    <row r="3" spans="1:13" x14ac:dyDescent="0.25">
      <c r="A3" s="1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2"/>
      <c r="E5" s="12" t="s">
        <v>55</v>
      </c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2"/>
      <c r="E6" s="12" t="s">
        <v>54</v>
      </c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2"/>
      <c r="E7" s="12" t="s">
        <v>72</v>
      </c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2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0" x14ac:dyDescent="0.25">
      <c r="A11" s="1"/>
      <c r="B11" s="1"/>
      <c r="C11" s="1"/>
      <c r="D11" s="13" t="s">
        <v>80</v>
      </c>
      <c r="E11" s="5" t="s">
        <v>3</v>
      </c>
      <c r="F11" s="13" t="s">
        <v>25</v>
      </c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8">
        <v>-1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8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>
        <v>1</v>
      </c>
      <c r="B14" s="12"/>
      <c r="C14" s="1" t="s">
        <v>36</v>
      </c>
      <c r="D14" s="20">
        <v>2146046494</v>
      </c>
      <c r="E14" s="1"/>
      <c r="F14" s="20">
        <f>+D14</f>
        <v>2146046494</v>
      </c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3"/>
      <c r="E15" s="6"/>
      <c r="F15" s="3"/>
      <c r="G15" s="1"/>
      <c r="H15" s="1"/>
      <c r="I15" s="1"/>
      <c r="J15" s="1"/>
      <c r="K15" s="1"/>
      <c r="L15" s="1"/>
      <c r="M15" s="1"/>
    </row>
    <row r="16" spans="1:13" x14ac:dyDescent="0.25">
      <c r="A16" s="1">
        <v>2</v>
      </c>
      <c r="B16" s="1"/>
      <c r="C16" s="1" t="s">
        <v>26</v>
      </c>
      <c r="D16" s="10">
        <f>'Rate of Return'!$E$18</f>
        <v>7.3574321344462387E-2</v>
      </c>
      <c r="E16" s="1"/>
      <c r="F16" s="22">
        <f>'Rate of Return'!$E$33</f>
        <v>6.2966510000000003E-2</v>
      </c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>
        <v>3</v>
      </c>
      <c r="B18" s="1"/>
      <c r="C18" s="1" t="s">
        <v>37</v>
      </c>
      <c r="D18" s="8">
        <f>+D14*D16</f>
        <v>157893914.36971286</v>
      </c>
      <c r="E18" s="1"/>
      <c r="F18" s="8">
        <f>+F14*F16</f>
        <v>135129058.02491593</v>
      </c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5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>
        <v>4</v>
      </c>
      <c r="B20" s="1"/>
      <c r="C20" s="1" t="s">
        <v>38</v>
      </c>
      <c r="D20" s="8">
        <v>139066100</v>
      </c>
      <c r="E20" s="15">
        <f>+F20-D20</f>
        <v>0</v>
      </c>
      <c r="F20" s="8">
        <v>139066100</v>
      </c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5</v>
      </c>
      <c r="B22" s="1"/>
      <c r="C22" s="1" t="s">
        <v>39</v>
      </c>
      <c r="D22" s="15">
        <f>+D18-D20</f>
        <v>18827814.369712859</v>
      </c>
      <c r="E22" s="15"/>
      <c r="F22" s="15">
        <f>+F18-F20</f>
        <v>-3937041.9750840664</v>
      </c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>
        <v>6</v>
      </c>
      <c r="B24" s="1"/>
      <c r="C24" s="1" t="s">
        <v>40</v>
      </c>
      <c r="D24" s="21">
        <v>1.608581</v>
      </c>
      <c r="E24" s="1"/>
      <c r="F24" s="24">
        <f>+D24</f>
        <v>1.608581</v>
      </c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>
        <v>7</v>
      </c>
      <c r="B26" s="1"/>
      <c r="C26" s="1" t="s">
        <v>41</v>
      </c>
      <c r="D26" s="8">
        <f>+D22*D24</f>
        <v>30286064.466647081</v>
      </c>
      <c r="E26" s="15">
        <f>+F26-D26</f>
        <v>-36619115.383969784</v>
      </c>
      <c r="F26" s="8">
        <f>+F22*F24</f>
        <v>-6333050.9173227027</v>
      </c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8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="60" zoomScaleNormal="100" workbookViewId="0">
      <selection activeCell="B11" sqref="B11"/>
    </sheetView>
  </sheetViews>
  <sheetFormatPr defaultRowHeight="15" x14ac:dyDescent="0.25"/>
  <cols>
    <col min="1" max="1" width="29" customWidth="1"/>
    <col min="2" max="2" width="26" customWidth="1"/>
    <col min="3" max="4" width="14.7109375" customWidth="1"/>
    <col min="5" max="5" width="12.28515625" customWidth="1"/>
  </cols>
  <sheetData>
    <row r="1" spans="1:9" x14ac:dyDescent="0.25">
      <c r="A1" s="1"/>
      <c r="B1" s="1"/>
      <c r="C1" s="1"/>
      <c r="D1" s="1"/>
      <c r="E1" s="1"/>
      <c r="F1" s="1"/>
      <c r="G1" s="1" t="s">
        <v>68</v>
      </c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 t="s">
        <v>2</v>
      </c>
      <c r="H2" s="1"/>
    </row>
    <row r="3" spans="1:9" x14ac:dyDescent="0.25">
      <c r="A3" s="1" t="s">
        <v>53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2" t="s">
        <v>55</v>
      </c>
      <c r="E5" s="1"/>
      <c r="F5" s="1"/>
      <c r="G5" s="1"/>
      <c r="H5" s="1"/>
      <c r="I5" s="1"/>
    </row>
    <row r="6" spans="1:9" x14ac:dyDescent="0.25">
      <c r="A6" s="1"/>
      <c r="B6" s="1"/>
      <c r="C6" s="1"/>
      <c r="D6" s="12" t="s">
        <v>54</v>
      </c>
      <c r="E6" s="1"/>
      <c r="F6" s="1"/>
      <c r="G6" s="1"/>
      <c r="H6" s="1"/>
      <c r="I6" s="1"/>
    </row>
    <row r="7" spans="1:9" x14ac:dyDescent="0.25">
      <c r="A7" s="1"/>
      <c r="B7" s="1"/>
      <c r="C7" s="1"/>
      <c r="D7" s="12" t="s">
        <v>26</v>
      </c>
      <c r="E7" s="1"/>
      <c r="F7" s="1"/>
      <c r="G7" s="1"/>
      <c r="H7" s="1"/>
      <c r="I7" s="1"/>
    </row>
    <row r="8" spans="1:9" x14ac:dyDescent="0.25">
      <c r="A8" s="1"/>
      <c r="B8" s="1"/>
      <c r="C8" s="1"/>
      <c r="D8" s="12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30" x14ac:dyDescent="0.25">
      <c r="A10" s="1"/>
      <c r="B10" s="19" t="s">
        <v>80</v>
      </c>
      <c r="C10" s="13" t="s">
        <v>22</v>
      </c>
      <c r="D10" s="13" t="s">
        <v>23</v>
      </c>
      <c r="E10" s="13" t="s">
        <v>24</v>
      </c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 t="s">
        <v>19</v>
      </c>
      <c r="C12" s="10">
        <v>3.5741536605823174E-2</v>
      </c>
      <c r="D12" s="10">
        <v>1.5807874999999999E-2</v>
      </c>
      <c r="E12" s="10">
        <v>4.0897416255984817E-4</v>
      </c>
      <c r="F12" s="1"/>
      <c r="G12" s="1"/>
      <c r="H12" s="1"/>
    </row>
    <row r="13" spans="1:9" x14ac:dyDescent="0.25">
      <c r="A13" s="1"/>
      <c r="B13" s="1"/>
      <c r="C13" s="10"/>
      <c r="D13" s="10"/>
      <c r="E13" s="10"/>
      <c r="F13" s="1"/>
      <c r="G13" s="1"/>
      <c r="H13" s="1"/>
    </row>
    <row r="14" spans="1:9" x14ac:dyDescent="0.25">
      <c r="A14" s="1"/>
      <c r="B14" s="1" t="s">
        <v>20</v>
      </c>
      <c r="C14" s="10">
        <v>0.4302094246359433</v>
      </c>
      <c r="D14" s="10">
        <v>4.488569677980072E-2</v>
      </c>
      <c r="E14" s="10">
        <v>1.7779795033603454E-2</v>
      </c>
      <c r="F14" s="1"/>
      <c r="G14" s="1"/>
      <c r="H14" s="1"/>
    </row>
    <row r="15" spans="1:9" x14ac:dyDescent="0.25">
      <c r="A15" s="1"/>
      <c r="B15" s="1"/>
      <c r="C15" s="10"/>
      <c r="D15" s="10"/>
      <c r="E15" s="10"/>
      <c r="F15" s="1"/>
      <c r="G15" s="1"/>
      <c r="H15" s="1"/>
    </row>
    <row r="16" spans="1:9" x14ac:dyDescent="0.25">
      <c r="A16" s="1"/>
      <c r="B16" s="1" t="s">
        <v>21</v>
      </c>
      <c r="C16" s="17">
        <v>0.5340490387582334</v>
      </c>
      <c r="D16" s="10">
        <v>0.105</v>
      </c>
      <c r="E16" s="17">
        <v>5.5385552148299086E-2</v>
      </c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 t="s">
        <v>5</v>
      </c>
      <c r="C18" s="18">
        <f>SUM(C12:C16)</f>
        <v>0.99999999999999989</v>
      </c>
      <c r="D18" s="1"/>
      <c r="E18" s="18">
        <f>SUM(E12:E16)</f>
        <v>7.3574321344462387E-2</v>
      </c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C23" s="1"/>
      <c r="D23" s="1"/>
      <c r="E23" s="1"/>
      <c r="F23" s="1"/>
      <c r="G23" s="1"/>
      <c r="H23" s="1"/>
    </row>
    <row r="24" spans="1:8" ht="30" x14ac:dyDescent="0.25">
      <c r="A24" s="1"/>
      <c r="B24" s="19" t="s">
        <v>25</v>
      </c>
      <c r="C24" s="13" t="s">
        <v>22</v>
      </c>
      <c r="D24" s="13" t="s">
        <v>23</v>
      </c>
      <c r="E24" s="13" t="s">
        <v>24</v>
      </c>
      <c r="F24" s="1"/>
      <c r="G24" s="1"/>
      <c r="H24" s="1"/>
    </row>
    <row r="25" spans="1:8" x14ac:dyDescent="0.25">
      <c r="A25" s="1"/>
      <c r="B25" s="1"/>
      <c r="C25" s="16">
        <v>-2</v>
      </c>
      <c r="D25" s="16">
        <v>-2</v>
      </c>
      <c r="E25" s="16">
        <v>-2</v>
      </c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19</v>
      </c>
      <c r="C27" s="10">
        <v>4.2700000000000002E-2</v>
      </c>
      <c r="D27" s="10">
        <v>8.8999999999999999E-3</v>
      </c>
      <c r="E27" s="10">
        <f>+C27*D27</f>
        <v>3.8003000000000001E-4</v>
      </c>
      <c r="F27" s="1"/>
      <c r="G27" s="1"/>
      <c r="H27" s="1"/>
    </row>
    <row r="28" spans="1:8" x14ac:dyDescent="0.25">
      <c r="A28" s="1"/>
      <c r="B28" s="1"/>
      <c r="C28" s="10"/>
      <c r="D28" s="10"/>
      <c r="E28" s="10"/>
      <c r="F28" s="1"/>
      <c r="G28" s="1"/>
      <c r="H28" s="1"/>
    </row>
    <row r="29" spans="1:8" x14ac:dyDescent="0.25">
      <c r="A29" s="1"/>
      <c r="B29" s="1" t="s">
        <v>20</v>
      </c>
      <c r="C29" s="10">
        <v>0.45279999999999998</v>
      </c>
      <c r="D29" s="10">
        <v>4.1599999999999998E-2</v>
      </c>
      <c r="E29" s="10">
        <f>+C29*D29</f>
        <v>1.8836479999999999E-2</v>
      </c>
      <c r="F29" s="1"/>
      <c r="G29" s="1"/>
      <c r="H29" s="1"/>
    </row>
    <row r="30" spans="1:8" x14ac:dyDescent="0.25">
      <c r="A30" s="1"/>
      <c r="B30" s="1"/>
      <c r="C30" s="10"/>
      <c r="D30" s="10"/>
      <c r="E30" s="10"/>
      <c r="F30" s="1"/>
      <c r="G30" s="1"/>
      <c r="H30" s="1"/>
    </row>
    <row r="31" spans="1:8" x14ac:dyDescent="0.25">
      <c r="A31" s="1"/>
      <c r="B31" s="1" t="s">
        <v>21</v>
      </c>
      <c r="C31" s="17">
        <v>0.5</v>
      </c>
      <c r="D31" s="10">
        <v>8.7499999999999994E-2</v>
      </c>
      <c r="E31" s="17">
        <f>+C31*D31</f>
        <v>4.3749999999999997E-2</v>
      </c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 t="s">
        <v>5</v>
      </c>
      <c r="C33" s="18">
        <f>SUM(C27:C31)</f>
        <v>0.99550000000000005</v>
      </c>
      <c r="D33" s="1"/>
      <c r="E33" s="18">
        <f>SUM(E27:E31)</f>
        <v>6.2966510000000003E-2</v>
      </c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6" t="s">
        <v>82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83</v>
      </c>
      <c r="B37" s="1"/>
      <c r="C37" s="1"/>
      <c r="D37" s="1"/>
      <c r="E37" s="1"/>
      <c r="F37" s="1"/>
      <c r="G37" s="1"/>
      <c r="H37" s="1"/>
    </row>
    <row r="38" spans="1:8" x14ac:dyDescent="0.25">
      <c r="A38" s="1" t="s">
        <v>84</v>
      </c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5" bottom="0.75" header="0.3" footer="0.3"/>
  <pageSetup scale="86" fitToWidth="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3" max="3" width="66.5703125" customWidth="1"/>
    <col min="4" max="4" width="15.42578125" customWidth="1"/>
    <col min="5" max="5" width="3" customWidth="1"/>
    <col min="6" max="6" width="21.42578125" customWidth="1"/>
  </cols>
  <sheetData>
    <row r="1" spans="1:6" x14ac:dyDescent="0.25">
      <c r="A1" s="1"/>
      <c r="B1" s="1"/>
      <c r="C1" s="1"/>
      <c r="D1" s="1"/>
      <c r="E1" s="1"/>
      <c r="F1" s="1" t="s">
        <v>68</v>
      </c>
    </row>
    <row r="2" spans="1:6" x14ac:dyDescent="0.25">
      <c r="A2" s="1" t="s">
        <v>0</v>
      </c>
      <c r="B2" s="1"/>
      <c r="C2" s="1"/>
      <c r="D2" s="1"/>
      <c r="E2" s="1"/>
      <c r="F2" s="1" t="s">
        <v>74</v>
      </c>
    </row>
    <row r="3" spans="1:6" x14ac:dyDescent="0.25">
      <c r="A3" s="1" t="s">
        <v>53</v>
      </c>
      <c r="B3" s="1"/>
      <c r="C3" s="1"/>
      <c r="D3" s="1"/>
      <c r="E3" s="1"/>
      <c r="F3" s="1" t="s">
        <v>42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28" t="s">
        <v>55</v>
      </c>
      <c r="D8" s="28"/>
      <c r="E8" s="28"/>
      <c r="F8" s="28"/>
    </row>
    <row r="9" spans="1:6" x14ac:dyDescent="0.25">
      <c r="A9" s="1"/>
      <c r="B9" s="1"/>
      <c r="C9" s="28" t="s">
        <v>54</v>
      </c>
      <c r="D9" s="28"/>
      <c r="E9" s="28"/>
      <c r="F9" s="28"/>
    </row>
    <row r="10" spans="1:6" x14ac:dyDescent="0.25">
      <c r="A10" s="1"/>
      <c r="B10" s="1"/>
      <c r="C10" s="28" t="s">
        <v>56</v>
      </c>
      <c r="D10" s="28"/>
      <c r="E10" s="28"/>
      <c r="F10" s="28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26" t="s">
        <v>71</v>
      </c>
      <c r="C14" s="1"/>
      <c r="D14" s="14">
        <f>'Rev. Req.'!$D$20</f>
        <v>139066100</v>
      </c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26" t="s">
        <v>43</v>
      </c>
      <c r="C16" s="1"/>
      <c r="D16" s="1"/>
      <c r="E16" s="1"/>
      <c r="F16" s="1"/>
    </row>
    <row r="17" spans="1:6" x14ac:dyDescent="0.25">
      <c r="A17" s="1"/>
      <c r="B17" s="1"/>
      <c r="C17" s="1"/>
      <c r="D17" s="3"/>
      <c r="E17" s="1"/>
      <c r="F17" s="1"/>
    </row>
    <row r="18" spans="1:6" x14ac:dyDescent="0.25">
      <c r="A18" s="12">
        <v>1</v>
      </c>
      <c r="B18" s="1" t="s">
        <v>66</v>
      </c>
      <c r="C18" s="1"/>
      <c r="D18" s="3">
        <f>'Cane Run 4, 5, and 6'!$E$24</f>
        <v>3423467.3905714289</v>
      </c>
      <c r="E18" s="1"/>
      <c r="F18" s="1" t="s">
        <v>75</v>
      </c>
    </row>
    <row r="19" spans="1:6" x14ac:dyDescent="0.25">
      <c r="A19" s="12">
        <v>2</v>
      </c>
      <c r="B19" s="1" t="s">
        <v>44</v>
      </c>
      <c r="C19" s="1"/>
      <c r="D19" s="3">
        <f>Labor!$H$28</f>
        <v>1717851.7249858414</v>
      </c>
      <c r="E19" s="1"/>
      <c r="F19" s="1" t="s">
        <v>76</v>
      </c>
    </row>
    <row r="20" spans="1:6" x14ac:dyDescent="0.25">
      <c r="A20" s="12">
        <v>3</v>
      </c>
      <c r="B20" s="1" t="s">
        <v>45</v>
      </c>
      <c r="C20" s="1"/>
      <c r="D20" s="3">
        <f>Pension!$E$21</f>
        <v>7634140.7220000001</v>
      </c>
      <c r="E20" s="1"/>
      <c r="F20" s="1" t="s">
        <v>77</v>
      </c>
    </row>
    <row r="21" spans="1:6" x14ac:dyDescent="0.25">
      <c r="A21" s="12">
        <v>4</v>
      </c>
      <c r="B21" s="1" t="s">
        <v>46</v>
      </c>
      <c r="C21" s="1"/>
      <c r="D21" s="3">
        <f>Depr!$E$19</f>
        <v>543839.34110304294</v>
      </c>
      <c r="E21" s="1"/>
      <c r="F21" s="1" t="s">
        <v>78</v>
      </c>
    </row>
    <row r="22" spans="1:6" x14ac:dyDescent="0.25">
      <c r="A22" s="12">
        <v>5</v>
      </c>
      <c r="B22" s="1" t="s">
        <v>47</v>
      </c>
      <c r="C22" s="1"/>
      <c r="D22" s="3">
        <f>Slippage!$F$45</f>
        <v>738268</v>
      </c>
      <c r="E22" s="1"/>
      <c r="F22" s="1" t="s">
        <v>79</v>
      </c>
    </row>
    <row r="23" spans="1:6" x14ac:dyDescent="0.25">
      <c r="A23" s="1"/>
      <c r="B23" s="1"/>
      <c r="C23" s="1"/>
      <c r="D23" s="3"/>
      <c r="E23" s="1"/>
      <c r="F23" s="1"/>
    </row>
    <row r="24" spans="1:6" x14ac:dyDescent="0.25">
      <c r="A24" s="1"/>
      <c r="B24" s="1" t="s">
        <v>50</v>
      </c>
      <c r="C24" s="1"/>
      <c r="D24" s="3">
        <f>SUM(D14:D22)</f>
        <v>153123667.1786603</v>
      </c>
      <c r="E24" s="1"/>
      <c r="F24" s="1"/>
    </row>
    <row r="25" spans="1:6" x14ac:dyDescent="0.25">
      <c r="A25" s="1"/>
      <c r="B25" s="12"/>
      <c r="C25" s="1"/>
      <c r="D25" s="3"/>
      <c r="E25" s="1"/>
      <c r="F25" s="1"/>
    </row>
    <row r="26" spans="1:6" x14ac:dyDescent="0.25">
      <c r="A26" s="1"/>
      <c r="B26" s="12"/>
      <c r="D26" s="3"/>
      <c r="E26" s="1"/>
      <c r="F26" s="1"/>
    </row>
    <row r="27" spans="1:6" x14ac:dyDescent="0.25">
      <c r="A27" s="1"/>
      <c r="B27" s="12"/>
      <c r="C27" s="1"/>
      <c r="D27" s="3"/>
      <c r="E27" s="1"/>
      <c r="F27" s="1"/>
    </row>
    <row r="28" spans="1:6" x14ac:dyDescent="0.25">
      <c r="A28" s="1"/>
      <c r="B28" s="12"/>
      <c r="C28" s="1"/>
      <c r="D28" s="3"/>
      <c r="E28" s="1"/>
      <c r="F28" s="1"/>
    </row>
    <row r="29" spans="1:6" x14ac:dyDescent="0.25">
      <c r="A29" s="1"/>
      <c r="B29" s="12"/>
      <c r="C29" s="1"/>
      <c r="D29" s="3"/>
      <c r="E29" s="1"/>
      <c r="F29" s="1"/>
    </row>
    <row r="30" spans="1:6" x14ac:dyDescent="0.25">
      <c r="A30" s="1"/>
      <c r="B30" s="12"/>
      <c r="C30" s="1"/>
      <c r="D30" s="3"/>
      <c r="E30" s="1"/>
      <c r="F30" s="1"/>
    </row>
    <row r="31" spans="1:6" x14ac:dyDescent="0.25">
      <c r="A31" s="1"/>
      <c r="B31" s="12"/>
      <c r="C31" s="1"/>
      <c r="D31" s="3"/>
      <c r="E31" s="1"/>
      <c r="F31" s="1"/>
    </row>
    <row r="32" spans="1:6" ht="17.25" x14ac:dyDescent="0.4">
      <c r="A32" s="1"/>
      <c r="B32" s="12"/>
      <c r="C32" s="1"/>
      <c r="D32" s="4"/>
      <c r="E32" s="1"/>
      <c r="F32" s="1"/>
    </row>
    <row r="33" spans="1:6" x14ac:dyDescent="0.25">
      <c r="A33" s="1"/>
      <c r="B33" s="1"/>
      <c r="C33" s="1"/>
      <c r="D33" s="3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pageMargins left="0.7" right="0.7" top="0.75" bottom="0.75" header="0.3" footer="0.3"/>
  <pageSetup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G26" sqref="G25:G26"/>
    </sheetView>
  </sheetViews>
  <sheetFormatPr defaultRowHeight="15" x14ac:dyDescent="0.25"/>
  <cols>
    <col min="1" max="1" width="3.140625" customWidth="1"/>
    <col min="2" max="2" width="16.7109375" customWidth="1"/>
    <col min="3" max="3" width="48" customWidth="1"/>
    <col min="4" max="4" width="19.7109375" customWidth="1"/>
    <col min="5" max="5" width="14.85546875" customWidth="1"/>
    <col min="6" max="6" width="5.140625" customWidth="1"/>
    <col min="7" max="7" width="17.28515625" customWidth="1"/>
    <col min="8" max="8" width="2" customWidth="1"/>
    <col min="9" max="9" width="13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 t="s">
        <v>68</v>
      </c>
      <c r="J1" s="1"/>
      <c r="K1" s="1"/>
      <c r="L1" s="1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74</v>
      </c>
      <c r="J2" s="1"/>
      <c r="L2" s="1"/>
      <c r="M2" s="1"/>
      <c r="N2" s="1"/>
    </row>
    <row r="3" spans="1:14" x14ac:dyDescent="0.25">
      <c r="A3" s="1" t="s">
        <v>1</v>
      </c>
      <c r="B3" s="1" t="s">
        <v>53</v>
      </c>
      <c r="C3" s="1"/>
      <c r="D3" s="1"/>
      <c r="E3" s="1"/>
      <c r="F3" s="1"/>
      <c r="G3" s="1"/>
      <c r="H3" s="1"/>
      <c r="I3" s="1" t="s">
        <v>28</v>
      </c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2" t="s">
        <v>55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2" t="s">
        <v>54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2" t="s">
        <v>73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2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5" x14ac:dyDescent="0.25">
      <c r="A11" s="1"/>
      <c r="B11" s="1"/>
      <c r="C11" s="1"/>
      <c r="D11" s="13" t="s">
        <v>80</v>
      </c>
      <c r="E11" s="5" t="s">
        <v>3</v>
      </c>
      <c r="G11" s="13" t="s">
        <v>25</v>
      </c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8">
        <v>-1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2"/>
      <c r="C14" s="1" t="s">
        <v>67</v>
      </c>
      <c r="D14" s="3">
        <v>1705278</v>
      </c>
      <c r="E14" s="1"/>
      <c r="F14" s="1"/>
      <c r="G14" s="3">
        <v>1705278</v>
      </c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2"/>
      <c r="C15" s="1" t="s">
        <v>62</v>
      </c>
      <c r="D15" s="3">
        <v>14</v>
      </c>
      <c r="E15" s="1"/>
      <c r="F15" s="1"/>
      <c r="G15" s="3">
        <v>14</v>
      </c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2"/>
      <c r="C16" s="1" t="s">
        <v>63</v>
      </c>
      <c r="D16" s="23">
        <f>+D14/D15</f>
        <v>121805.57142857143</v>
      </c>
      <c r="E16" s="1"/>
      <c r="F16" s="1"/>
      <c r="G16" s="23">
        <f>+G14/G15</f>
        <v>121805.57142857143</v>
      </c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2"/>
      <c r="C17" s="1"/>
      <c r="D17" s="3"/>
      <c r="E17" s="1"/>
      <c r="F17" s="1"/>
      <c r="G17" s="3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2"/>
      <c r="C18" s="1" t="s">
        <v>65</v>
      </c>
      <c r="D18" s="7">
        <v>46</v>
      </c>
      <c r="E18" s="1"/>
      <c r="F18" s="1"/>
      <c r="G18" s="7">
        <v>0</v>
      </c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2"/>
      <c r="C19" s="1"/>
      <c r="D19" s="3"/>
      <c r="E19" s="1"/>
      <c r="F19" s="1"/>
      <c r="G19" s="3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2"/>
      <c r="C20" s="1" t="s">
        <v>64</v>
      </c>
      <c r="D20" s="3">
        <f>+D16*D18</f>
        <v>5603056.2857142864</v>
      </c>
      <c r="E20" s="6">
        <f>D20-G20</f>
        <v>5603056.2857142864</v>
      </c>
      <c r="F20" s="1"/>
      <c r="G20" s="3">
        <f>+G16*G18</f>
        <v>0</v>
      </c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 t="s">
        <v>6</v>
      </c>
      <c r="D22" s="1"/>
      <c r="E22" s="25">
        <v>0.61099999999999999</v>
      </c>
      <c r="F22" s="8">
        <v>-2</v>
      </c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 t="s">
        <v>49</v>
      </c>
      <c r="D24" s="1"/>
      <c r="E24" s="8">
        <f>+E20*E22</f>
        <v>3423467.3905714289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6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 t="s">
        <v>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 t="s">
        <v>57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J41" s="1"/>
      <c r="K41" s="1"/>
      <c r="L41" s="1"/>
      <c r="M41" s="1"/>
      <c r="N41" s="1"/>
    </row>
    <row r="42" spans="1:14" x14ac:dyDescent="0.25">
      <c r="J42" s="1"/>
      <c r="K42" s="1"/>
      <c r="L42" s="1"/>
      <c r="M42" s="1"/>
      <c r="N42" s="1"/>
    </row>
  </sheetData>
  <pageMargins left="0.7" right="0.7" top="0.75" bottom="0.75" header="0.3" footer="0.3"/>
  <pageSetup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60" zoomScaleNormal="100" workbookViewId="0">
      <selection activeCell="G16" sqref="G16:J16"/>
    </sheetView>
  </sheetViews>
  <sheetFormatPr defaultRowHeight="15" x14ac:dyDescent="0.25"/>
  <cols>
    <col min="2" max="3" width="15.85546875" customWidth="1"/>
    <col min="4" max="4" width="13.28515625" hidden="1" customWidth="1"/>
    <col min="5" max="5" width="13.5703125" hidden="1" customWidth="1"/>
    <col min="6" max="6" width="13.42578125" hidden="1" customWidth="1"/>
    <col min="7" max="7" width="16.7109375" customWidth="1"/>
    <col min="8" max="8" width="13.42578125" customWidth="1"/>
    <col min="9" max="9" width="6.42578125" customWidth="1"/>
    <col min="10" max="10" width="16.5703125" customWidth="1"/>
    <col min="11" max="11" width="13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68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 t="s">
        <v>74</v>
      </c>
    </row>
    <row r="3" spans="1:11" x14ac:dyDescent="0.25">
      <c r="A3" s="1" t="s">
        <v>53</v>
      </c>
      <c r="B3" s="1"/>
      <c r="C3" s="1"/>
      <c r="D3" s="1"/>
      <c r="E3" s="1"/>
      <c r="F3" s="1"/>
      <c r="G3" s="1"/>
      <c r="H3" s="1"/>
      <c r="I3" s="1"/>
      <c r="J3" s="1"/>
      <c r="K3" s="1" t="s">
        <v>29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2"/>
      <c r="F5" s="1"/>
      <c r="G5" s="1"/>
      <c r="H5" s="12" t="s">
        <v>55</v>
      </c>
      <c r="I5" s="1"/>
      <c r="J5" s="1"/>
      <c r="K5" s="1"/>
    </row>
    <row r="6" spans="1:11" x14ac:dyDescent="0.25">
      <c r="A6" s="1"/>
      <c r="B6" s="1"/>
      <c r="C6" s="1"/>
      <c r="D6" s="1"/>
      <c r="E6" s="12"/>
      <c r="F6" s="1"/>
      <c r="G6" s="1"/>
      <c r="H6" s="12" t="s">
        <v>54</v>
      </c>
      <c r="I6" s="1"/>
      <c r="J6" s="1"/>
      <c r="K6" s="1"/>
    </row>
    <row r="7" spans="1:11" x14ac:dyDescent="0.25">
      <c r="A7" s="1"/>
      <c r="B7" s="1"/>
      <c r="C7" s="1"/>
      <c r="D7" s="1"/>
      <c r="E7" s="12"/>
      <c r="F7" s="1"/>
      <c r="G7" s="1"/>
      <c r="H7" s="12" t="s">
        <v>8</v>
      </c>
      <c r="I7" s="1"/>
      <c r="J7" s="1"/>
      <c r="K7" s="1"/>
    </row>
    <row r="8" spans="1:11" hidden="1" x14ac:dyDescent="0.25">
      <c r="A8" s="1"/>
      <c r="B8" s="1"/>
      <c r="C8" s="1"/>
      <c r="D8" s="1"/>
      <c r="E8" s="12"/>
      <c r="F8" s="1"/>
      <c r="G8" s="1"/>
      <c r="H8" s="1"/>
      <c r="I8" s="1"/>
      <c r="J8" s="1"/>
      <c r="K8" s="1"/>
    </row>
    <row r="9" spans="1:11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idden="1" x14ac:dyDescent="0.25">
      <c r="A11" s="1"/>
      <c r="B11" s="1"/>
      <c r="C11" s="1"/>
      <c r="D11" s="1"/>
      <c r="E11" s="1"/>
      <c r="F11" s="5" t="s">
        <v>69</v>
      </c>
      <c r="G11" s="5"/>
      <c r="H11" s="5" t="s">
        <v>3</v>
      </c>
      <c r="I11" s="5" t="s">
        <v>4</v>
      </c>
      <c r="J11" s="1"/>
      <c r="K11" s="1"/>
    </row>
    <row r="12" spans="1:11" hidden="1" x14ac:dyDescent="0.25">
      <c r="A12" s="1"/>
      <c r="B12" s="1"/>
      <c r="C12" s="1"/>
      <c r="D12" s="1"/>
      <c r="E12" s="1"/>
      <c r="F12" s="8"/>
      <c r="G12" s="8"/>
      <c r="H12" s="1"/>
      <c r="I12" s="1"/>
      <c r="J12" s="1"/>
      <c r="K12" s="1"/>
    </row>
    <row r="13" spans="1:11" ht="60" hidden="1" x14ac:dyDescent="0.25">
      <c r="A13" s="1"/>
      <c r="B13" s="1"/>
      <c r="C13" s="1"/>
      <c r="D13" s="13" t="s">
        <v>11</v>
      </c>
      <c r="E13" s="13" t="s">
        <v>14</v>
      </c>
      <c r="F13" s="13" t="s">
        <v>13</v>
      </c>
      <c r="G13" s="13" t="s">
        <v>61</v>
      </c>
      <c r="H13" s="1"/>
      <c r="I13" s="1"/>
      <c r="J13" s="1"/>
      <c r="K13" s="1"/>
    </row>
    <row r="14" spans="1:11" x14ac:dyDescent="0.25">
      <c r="A14" s="1"/>
      <c r="B14" s="1"/>
      <c r="C14" s="1"/>
      <c r="D14" s="16">
        <v>-2</v>
      </c>
      <c r="E14" s="16">
        <v>-3</v>
      </c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3"/>
      <c r="E15" s="13"/>
      <c r="F15" s="1"/>
      <c r="G15" s="1"/>
      <c r="H15" s="1"/>
      <c r="I15" s="1"/>
      <c r="J15" s="1"/>
      <c r="K15" s="1"/>
    </row>
    <row r="16" spans="1:11" ht="45" x14ac:dyDescent="0.25">
      <c r="A16" s="1"/>
      <c r="B16" s="1"/>
      <c r="C16" s="1"/>
      <c r="D16" s="13"/>
      <c r="E16" s="13"/>
      <c r="F16" s="1"/>
      <c r="G16" s="13" t="s">
        <v>80</v>
      </c>
      <c r="H16" s="5" t="s">
        <v>3</v>
      </c>
      <c r="J16" s="13" t="s">
        <v>25</v>
      </c>
      <c r="K16" s="1"/>
    </row>
    <row r="17" spans="1:11" x14ac:dyDescent="0.25">
      <c r="A17" s="1"/>
      <c r="B17" s="1"/>
      <c r="C17" s="1"/>
      <c r="D17" s="13"/>
      <c r="E17" s="13"/>
      <c r="F17" s="1"/>
      <c r="G17" s="8"/>
      <c r="H17" s="1"/>
      <c r="I17" s="1"/>
      <c r="J17" s="1"/>
      <c r="K17" s="1"/>
    </row>
    <row r="18" spans="1:11" x14ac:dyDescent="0.25">
      <c r="A18" s="1"/>
      <c r="B18" s="1"/>
      <c r="C18" s="1"/>
      <c r="D18" s="13"/>
      <c r="E18" s="13"/>
      <c r="F18" s="1"/>
      <c r="G18" s="8"/>
      <c r="H18" s="1"/>
      <c r="I18" s="1"/>
      <c r="J18" s="1"/>
      <c r="K18" s="1"/>
    </row>
    <row r="19" spans="1:11" x14ac:dyDescent="0.25">
      <c r="A19" s="1"/>
      <c r="B19" s="1" t="s">
        <v>10</v>
      </c>
      <c r="C19" s="1"/>
      <c r="D19" s="3">
        <v>529089</v>
      </c>
      <c r="E19" s="3">
        <v>-42864</v>
      </c>
      <c r="F19" s="3">
        <f>+D19+E19</f>
        <v>486225</v>
      </c>
      <c r="G19" s="3">
        <f>+F19</f>
        <v>486225</v>
      </c>
      <c r="H19" s="3"/>
      <c r="I19" s="1"/>
      <c r="J19" s="3">
        <v>307089.4736842105</v>
      </c>
      <c r="K19" s="6"/>
    </row>
    <row r="20" spans="1:11" x14ac:dyDescent="0.25">
      <c r="A20" s="1"/>
      <c r="B20" s="1" t="s">
        <v>12</v>
      </c>
      <c r="C20" s="1"/>
      <c r="D20" s="3">
        <v>2463298</v>
      </c>
      <c r="E20" s="3">
        <v>-49901.72</v>
      </c>
      <c r="F20" s="3">
        <f>+D20+E20</f>
        <v>2413396.2799999998</v>
      </c>
      <c r="G20" s="3">
        <f>+F20</f>
        <v>2413396.2799999998</v>
      </c>
      <c r="H20" s="3"/>
      <c r="I20" s="1"/>
      <c r="J20" s="3">
        <f>1092858.69283019</f>
        <v>1092858.6928301901</v>
      </c>
      <c r="K20" s="6"/>
    </row>
    <row r="21" spans="1:11" x14ac:dyDescent="0.25">
      <c r="A21" s="1"/>
      <c r="B21" s="1" t="s">
        <v>9</v>
      </c>
      <c r="C21" s="1"/>
      <c r="D21" s="3">
        <v>1491206</v>
      </c>
      <c r="E21" s="14">
        <v>266226</v>
      </c>
      <c r="F21" s="3">
        <f>+D21+E21</f>
        <v>1757432</v>
      </c>
      <c r="G21" s="3">
        <f>+F21*0.75</f>
        <v>1318074</v>
      </c>
      <c r="H21" s="3"/>
      <c r="I21" s="1"/>
      <c r="J21" s="3">
        <f>1058238.62365591*0.75</f>
        <v>793678.96774193249</v>
      </c>
      <c r="K21" s="6"/>
    </row>
    <row r="22" spans="1:11" x14ac:dyDescent="0.25">
      <c r="A22" s="1"/>
      <c r="B22" s="1" t="s">
        <v>52</v>
      </c>
      <c r="C22" s="1"/>
      <c r="D22" s="3">
        <v>736421</v>
      </c>
      <c r="E22" s="3">
        <v>0</v>
      </c>
      <c r="F22" s="3">
        <f>+D22+E22</f>
        <v>736421</v>
      </c>
      <c r="G22" s="3">
        <f>+F22*0.75</f>
        <v>552315.75</v>
      </c>
      <c r="H22" s="3"/>
      <c r="I22" s="1"/>
      <c r="J22" s="3">
        <f>519826.588235294*0.75</f>
        <v>389869.94117647049</v>
      </c>
      <c r="K22" s="6"/>
    </row>
    <row r="23" spans="1:11" ht="17.25" x14ac:dyDescent="0.4">
      <c r="A23" s="1"/>
      <c r="B23" s="1" t="s">
        <v>70</v>
      </c>
      <c r="C23" s="1"/>
      <c r="D23" s="4">
        <v>2453811</v>
      </c>
      <c r="E23" s="4">
        <v>0</v>
      </c>
      <c r="F23" s="4">
        <f>+D23+E23</f>
        <v>2453811</v>
      </c>
      <c r="G23" s="4">
        <f>+F23*0.75</f>
        <v>1840358.25</v>
      </c>
      <c r="H23" s="3"/>
      <c r="I23" s="1"/>
      <c r="J23" s="4">
        <f>1620441.22641509*0.75</f>
        <v>1215330.9198113175</v>
      </c>
      <c r="K23" s="6"/>
    </row>
    <row r="24" spans="1:11" x14ac:dyDescent="0.25">
      <c r="A24" s="1"/>
      <c r="B24" s="1"/>
      <c r="C24" s="1"/>
      <c r="D24" s="3">
        <f>SUM(D19:D23)</f>
        <v>7673825</v>
      </c>
      <c r="E24" s="3">
        <f>SUM(E19:E23)</f>
        <v>173460.28</v>
      </c>
      <c r="F24" s="3">
        <f>SUM(F19:F23)</f>
        <v>7847285.2799999993</v>
      </c>
      <c r="G24" s="3">
        <f>SUM(G19:G23)</f>
        <v>6610369.2799999993</v>
      </c>
      <c r="H24" s="3">
        <f>+G24-J24</f>
        <v>2811541.2847558782</v>
      </c>
      <c r="I24" s="1"/>
      <c r="J24" s="3">
        <f>SUM(J19:J23)</f>
        <v>3798827.9952441212</v>
      </c>
      <c r="K24" s="1"/>
    </row>
    <row r="25" spans="1:11" x14ac:dyDescent="0.25">
      <c r="A25" s="1"/>
      <c r="B25" s="1"/>
      <c r="C25" s="1"/>
      <c r="D25" s="3"/>
      <c r="E25" s="3"/>
      <c r="F25" s="3"/>
      <c r="G25" s="3"/>
      <c r="H25" s="3"/>
      <c r="I25" s="3"/>
      <c r="J25" s="1"/>
      <c r="K25" s="1"/>
    </row>
    <row r="26" spans="1:11" x14ac:dyDescent="0.25">
      <c r="A26" s="1"/>
      <c r="B26" s="1"/>
      <c r="C26" s="1"/>
      <c r="D26" s="1" t="s">
        <v>6</v>
      </c>
      <c r="E26" s="1"/>
      <c r="F26" s="1"/>
      <c r="G26" s="1"/>
      <c r="H26" s="11">
        <v>0.61099999999999999</v>
      </c>
      <c r="I26" s="27">
        <v>-2</v>
      </c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 t="s">
        <v>49</v>
      </c>
      <c r="E28" s="1"/>
      <c r="F28" s="1"/>
      <c r="G28" s="1"/>
      <c r="H28" s="8">
        <f>+H24*H26</f>
        <v>1717851.7249858414</v>
      </c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6" t="s">
        <v>82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 t="s">
        <v>81</v>
      </c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 t="s">
        <v>58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60" zoomScaleNormal="100" workbookViewId="0">
      <selection activeCell="D11" sqref="D11:G11"/>
    </sheetView>
  </sheetViews>
  <sheetFormatPr defaultRowHeight="15" x14ac:dyDescent="0.25"/>
  <cols>
    <col min="3" max="3" width="20.42578125" customWidth="1"/>
    <col min="4" max="4" width="18.140625" customWidth="1"/>
    <col min="5" max="5" width="14.7109375" customWidth="1"/>
    <col min="6" max="6" width="5" customWidth="1"/>
    <col min="7" max="7" width="17.140625" customWidth="1"/>
    <col min="9" max="9" width="20.28515625" customWidth="1"/>
    <col min="10" max="10" width="16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 t="s">
        <v>68</v>
      </c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74</v>
      </c>
    </row>
    <row r="3" spans="1:9" x14ac:dyDescent="0.25">
      <c r="A3" s="1" t="s">
        <v>53</v>
      </c>
      <c r="B3" s="1"/>
      <c r="C3" s="1"/>
      <c r="D3" s="1"/>
      <c r="E3" s="1"/>
      <c r="F3" s="1"/>
      <c r="G3" s="1"/>
      <c r="H3" s="1"/>
      <c r="I3" s="1" t="s">
        <v>30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2"/>
      <c r="E5" s="12" t="s">
        <v>55</v>
      </c>
      <c r="F5" s="1"/>
      <c r="G5" s="1"/>
      <c r="H5" s="1"/>
      <c r="I5" s="1"/>
    </row>
    <row r="6" spans="1:9" x14ac:dyDescent="0.25">
      <c r="A6" s="1"/>
      <c r="B6" s="1"/>
      <c r="C6" s="1"/>
      <c r="D6" s="12"/>
      <c r="E6" s="12" t="s">
        <v>54</v>
      </c>
      <c r="F6" s="1"/>
      <c r="G6" s="1"/>
      <c r="H6" s="1"/>
      <c r="I6" s="1"/>
    </row>
    <row r="7" spans="1:9" x14ac:dyDescent="0.25">
      <c r="A7" s="1"/>
      <c r="B7" s="1"/>
      <c r="C7" s="1"/>
      <c r="D7" s="12"/>
      <c r="E7" s="12" t="s">
        <v>15</v>
      </c>
      <c r="F7" s="1"/>
      <c r="G7" s="1"/>
      <c r="H7" s="1"/>
      <c r="I7" s="1"/>
    </row>
    <row r="8" spans="1:9" x14ac:dyDescent="0.25">
      <c r="A8" s="1"/>
      <c r="B8" s="1"/>
      <c r="C8" s="1"/>
      <c r="D8" s="12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48" customHeight="1" x14ac:dyDescent="0.25">
      <c r="A11" s="1"/>
      <c r="B11" s="1"/>
      <c r="C11" s="1"/>
      <c r="D11" s="13" t="s">
        <v>80</v>
      </c>
      <c r="E11" s="5" t="s">
        <v>3</v>
      </c>
      <c r="G11" s="13" t="s">
        <v>25</v>
      </c>
      <c r="H11" s="1"/>
      <c r="I11" s="1"/>
    </row>
    <row r="12" spans="1:9" x14ac:dyDescent="0.25">
      <c r="A12" s="1"/>
      <c r="B12" s="1"/>
      <c r="C12" s="1"/>
      <c r="D12" s="8">
        <v>-1</v>
      </c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8"/>
      <c r="E13" s="1"/>
      <c r="F13" s="1"/>
      <c r="G13" s="1"/>
      <c r="H13" s="1"/>
      <c r="I13" s="1"/>
    </row>
    <row r="14" spans="1:9" x14ac:dyDescent="0.25">
      <c r="A14" s="1"/>
      <c r="B14" s="1"/>
      <c r="C14" s="1" t="s">
        <v>59</v>
      </c>
      <c r="D14" s="3">
        <v>28916101</v>
      </c>
      <c r="E14" s="3"/>
      <c r="F14" s="3"/>
      <c r="G14" s="3">
        <v>12256765</v>
      </c>
      <c r="H14" s="1"/>
      <c r="I14" s="1"/>
    </row>
    <row r="15" spans="1:9" x14ac:dyDescent="0.25">
      <c r="A15" s="1"/>
      <c r="B15" s="1"/>
      <c r="C15" s="1" t="s">
        <v>60</v>
      </c>
      <c r="D15" s="9">
        <v>0.75</v>
      </c>
      <c r="E15" s="1"/>
      <c r="F15" s="1"/>
      <c r="G15" s="9">
        <v>0.75</v>
      </c>
      <c r="H15" s="1"/>
      <c r="I15" s="1"/>
    </row>
    <row r="16" spans="1:9" ht="17.25" x14ac:dyDescent="0.4">
      <c r="A16" s="1"/>
      <c r="B16" s="12"/>
      <c r="C16" s="1" t="s">
        <v>33</v>
      </c>
      <c r="D16" s="4">
        <f>+D14*D15</f>
        <v>21687075.75</v>
      </c>
      <c r="E16" s="1"/>
      <c r="F16" s="1"/>
      <c r="G16" s="4">
        <f>+G14*G15</f>
        <v>9192573.75</v>
      </c>
      <c r="H16" s="1"/>
      <c r="I16" s="1"/>
    </row>
    <row r="17" spans="1:9" x14ac:dyDescent="0.25">
      <c r="A17" s="1"/>
      <c r="B17" s="1"/>
      <c r="C17" s="1" t="s">
        <v>5</v>
      </c>
      <c r="D17" s="3">
        <f>SUM(D16:D16)</f>
        <v>21687075.75</v>
      </c>
      <c r="E17" s="6">
        <f>D17-G17</f>
        <v>12494502</v>
      </c>
      <c r="F17" s="6"/>
      <c r="G17" s="3">
        <f>SUM(G16:G16)</f>
        <v>9192573.75</v>
      </c>
      <c r="H17" s="1"/>
      <c r="I17" s="1"/>
    </row>
    <row r="18" spans="1:9" x14ac:dyDescent="0.25">
      <c r="A18" s="1"/>
      <c r="B18" s="1"/>
      <c r="C18" s="1"/>
      <c r="D18" s="3"/>
      <c r="E18" s="1"/>
      <c r="F18" s="1"/>
      <c r="G18" s="1"/>
      <c r="H18" s="1"/>
      <c r="I18" s="1"/>
    </row>
    <row r="19" spans="1:9" x14ac:dyDescent="0.25">
      <c r="A19" s="1"/>
      <c r="B19" s="1"/>
      <c r="C19" s="1" t="s">
        <v>6</v>
      </c>
      <c r="D19" s="1"/>
      <c r="E19" s="25">
        <v>0.61099999999999999</v>
      </c>
      <c r="F19" s="8">
        <v>-2</v>
      </c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 t="s">
        <v>49</v>
      </c>
      <c r="D21" s="1"/>
      <c r="E21" s="8">
        <f>+E17*E19</f>
        <v>7634140.7220000001</v>
      </c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6" t="s">
        <v>82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 t="s">
        <v>32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 t="s">
        <v>57</v>
      </c>
      <c r="C28" s="1"/>
      <c r="D28" s="1"/>
      <c r="E28" s="1"/>
      <c r="F28" s="1"/>
      <c r="G28" s="1"/>
      <c r="H28" s="1"/>
      <c r="I28" s="1"/>
    </row>
  </sheetData>
  <pageMargins left="0.7" right="0.7" top="0.75" bottom="0.75" header="0.3" footer="0.3"/>
  <pageSetup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3" max="3" width="22.28515625" customWidth="1"/>
    <col min="4" max="5" width="17.28515625" customWidth="1"/>
    <col min="6" max="6" width="7.42578125" customWidth="1"/>
    <col min="7" max="7" width="17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 t="s">
        <v>68</v>
      </c>
      <c r="J1" s="1"/>
    </row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74</v>
      </c>
      <c r="J2" s="1"/>
    </row>
    <row r="3" spans="1:10" x14ac:dyDescent="0.25">
      <c r="A3" s="1" t="s">
        <v>53</v>
      </c>
      <c r="B3" s="1"/>
      <c r="C3" s="1"/>
      <c r="D3" s="1"/>
      <c r="E3" s="1"/>
      <c r="F3" s="1"/>
      <c r="G3" s="1"/>
      <c r="H3" s="1"/>
      <c r="I3" s="1" t="s">
        <v>31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2"/>
      <c r="E5" s="12" t="s">
        <v>55</v>
      </c>
      <c r="F5" s="12"/>
      <c r="G5" s="1"/>
      <c r="H5" s="1"/>
      <c r="I5" s="1"/>
      <c r="J5" s="1"/>
    </row>
    <row r="6" spans="1:10" x14ac:dyDescent="0.25">
      <c r="A6" s="1"/>
      <c r="B6" s="1"/>
      <c r="C6" s="1"/>
      <c r="D6" s="12"/>
      <c r="E6" s="12" t="s">
        <v>54</v>
      </c>
      <c r="F6" s="12"/>
      <c r="G6" s="1"/>
      <c r="H6" s="1"/>
      <c r="I6" s="1"/>
      <c r="J6" s="1"/>
    </row>
    <row r="7" spans="1:10" x14ac:dyDescent="0.25">
      <c r="A7" s="1"/>
      <c r="B7" s="1"/>
      <c r="C7" s="1"/>
      <c r="D7" s="12"/>
      <c r="E7" s="12" t="s">
        <v>16</v>
      </c>
      <c r="F7" s="12"/>
      <c r="G7" s="1"/>
      <c r="H7" s="1"/>
      <c r="I7" s="1"/>
      <c r="J7" s="1"/>
    </row>
    <row r="8" spans="1:10" x14ac:dyDescent="0.25">
      <c r="A8" s="1"/>
      <c r="B8" s="1"/>
      <c r="C8" s="1"/>
      <c r="D8" s="12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3.5" customHeight="1" x14ac:dyDescent="0.25">
      <c r="A11" s="1"/>
      <c r="B11" s="1"/>
      <c r="C11" s="1"/>
      <c r="D11" s="13" t="s">
        <v>80</v>
      </c>
      <c r="E11" s="5" t="s">
        <v>3</v>
      </c>
      <c r="G11" s="13" t="s">
        <v>25</v>
      </c>
      <c r="H11" s="1"/>
      <c r="I11" s="1"/>
      <c r="J11" s="1"/>
    </row>
    <row r="12" spans="1:10" x14ac:dyDescent="0.25">
      <c r="A12" s="1"/>
      <c r="B12" s="1"/>
      <c r="C12" s="1"/>
      <c r="D12" s="8">
        <v>-1</v>
      </c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8"/>
      <c r="E13" s="1"/>
      <c r="F13" s="1"/>
      <c r="G13" s="1"/>
      <c r="H13" s="1"/>
      <c r="I13" s="1"/>
      <c r="J13" s="1"/>
    </row>
    <row r="14" spans="1:10" ht="17.25" x14ac:dyDescent="0.4">
      <c r="A14" s="1"/>
      <c r="B14" s="12"/>
      <c r="C14" s="1" t="s">
        <v>17</v>
      </c>
      <c r="D14" s="4">
        <v>3596285.8774523824</v>
      </c>
      <c r="E14" s="1"/>
      <c r="F14" s="1"/>
      <c r="G14" s="4">
        <v>2706205.1227829177</v>
      </c>
      <c r="H14" s="1"/>
      <c r="I14" s="1"/>
      <c r="J14" s="1"/>
    </row>
    <row r="15" spans="1:10" x14ac:dyDescent="0.25">
      <c r="A15" s="1"/>
      <c r="B15" s="1"/>
      <c r="C15" s="1" t="s">
        <v>5</v>
      </c>
      <c r="D15" s="3">
        <f>SUM(D14:D14)</f>
        <v>3596285.8774523824</v>
      </c>
      <c r="E15" s="6">
        <f>D15-G15</f>
        <v>890080.75466946466</v>
      </c>
      <c r="F15" s="6"/>
      <c r="G15" s="3">
        <f>SUM(G14:G14)</f>
        <v>2706205.1227829177</v>
      </c>
      <c r="H15" s="1"/>
      <c r="I15" s="1"/>
      <c r="J15" s="1"/>
    </row>
    <row r="16" spans="1:10" x14ac:dyDescent="0.25">
      <c r="A16" s="1"/>
      <c r="B16" s="1"/>
      <c r="C16" s="1"/>
      <c r="D16" s="3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 t="s">
        <v>6</v>
      </c>
      <c r="D17" s="1"/>
      <c r="E17" s="25">
        <v>0.61099999999999999</v>
      </c>
      <c r="F17" s="8">
        <v>-2</v>
      </c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 t="s">
        <v>49</v>
      </c>
      <c r="D19" s="1"/>
      <c r="E19" s="8">
        <f>+E15*E17</f>
        <v>543839.34110304294</v>
      </c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26" t="s">
        <v>82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 t="s">
        <v>18</v>
      </c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 t="s">
        <v>57</v>
      </c>
      <c r="C26" s="1"/>
      <c r="D26" s="1"/>
      <c r="E26" s="1"/>
      <c r="F26" s="1"/>
      <c r="G26" s="1"/>
      <c r="H26" s="1"/>
      <c r="I26" s="1"/>
      <c r="J26" s="1"/>
    </row>
  </sheetData>
  <pageMargins left="0.7" right="0.7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view="pageBreakPreview" zoomScale="60" zoomScaleNormal="100" workbookViewId="0">
      <selection activeCell="K7" sqref="K7"/>
    </sheetView>
  </sheetViews>
  <sheetFormatPr defaultRowHeight="15" x14ac:dyDescent="0.25"/>
  <cols>
    <col min="4" max="4" width="12.140625" customWidth="1"/>
    <col min="6" max="6" width="15" bestFit="1" customWidth="1"/>
    <col min="11" max="11" width="23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 t="s">
        <v>51</v>
      </c>
      <c r="D43" s="1"/>
      <c r="E43" s="1"/>
      <c r="F43" s="3">
        <v>738268</v>
      </c>
      <c r="G43" s="1"/>
      <c r="H43" s="1"/>
      <c r="I43" s="1"/>
      <c r="J43" s="1"/>
      <c r="K43" s="1"/>
    </row>
    <row r="44" spans="1:11" x14ac:dyDescent="0.25">
      <c r="A44" s="1"/>
      <c r="B44" s="1"/>
      <c r="C44" s="1" t="s">
        <v>48</v>
      </c>
      <c r="D44" s="1"/>
      <c r="E44" s="1"/>
      <c r="F44" s="21">
        <v>1</v>
      </c>
      <c r="G44" s="1"/>
      <c r="H44" s="1"/>
      <c r="I44" s="1"/>
      <c r="J44" s="1"/>
      <c r="K44" s="1"/>
    </row>
    <row r="45" spans="1:11" x14ac:dyDescent="0.25">
      <c r="A45" s="1"/>
      <c r="B45" s="1"/>
      <c r="C45" s="1" t="s">
        <v>49</v>
      </c>
      <c r="D45" s="1"/>
      <c r="E45" s="1"/>
      <c r="F45" s="3">
        <f>+F43*F44</f>
        <v>738268</v>
      </c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G70" s="1"/>
      <c r="H70" s="1"/>
      <c r="I70" s="1"/>
      <c r="J70" s="1"/>
      <c r="K70" s="1"/>
    </row>
    <row r="71" spans="1:11" x14ac:dyDescent="0.25">
      <c r="A71" s="1"/>
      <c r="B71" s="1"/>
      <c r="G71" s="8"/>
      <c r="H71" s="1"/>
      <c r="I71" s="1"/>
      <c r="J71" s="1"/>
      <c r="K71" s="1"/>
    </row>
    <row r="72" spans="1:11" x14ac:dyDescent="0.25">
      <c r="A72" s="1"/>
      <c r="B72" s="1"/>
      <c r="G72" s="1"/>
      <c r="H72" s="1"/>
      <c r="I72" s="1"/>
      <c r="J72" s="1"/>
      <c r="K72" s="1"/>
    </row>
  </sheetData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Rev. Req.</vt:lpstr>
      <vt:lpstr>ROE</vt:lpstr>
      <vt:lpstr>Rate of Return</vt:lpstr>
      <vt:lpstr>Summary of Oper. Inc. Adj.</vt:lpstr>
      <vt:lpstr>Cane Run 4, 5, and 6</vt:lpstr>
      <vt:lpstr>Labor</vt:lpstr>
      <vt:lpstr>Pension</vt:lpstr>
      <vt:lpstr>Depr</vt:lpstr>
      <vt:lpstr>Slippage</vt:lpstr>
      <vt:lpstr>'Cane Run 4, 5, and 6'!Print_Area</vt:lpstr>
      <vt:lpstr>'Rate of Return'!Print_Area</vt:lpstr>
      <vt:lpstr>ROE!Print_Area</vt:lpstr>
      <vt:lpstr>Slippage!Print_Area</vt:lpstr>
      <vt:lpstr>'Summary of Oper. Inc. Adj.'!Print_Area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Radigan</dc:creator>
  <cp:lastModifiedBy>Frank Radigan</cp:lastModifiedBy>
  <cp:lastPrinted>2015-03-06T18:23:33Z</cp:lastPrinted>
  <dcterms:created xsi:type="dcterms:W3CDTF">2015-03-05T19:50:20Z</dcterms:created>
  <dcterms:modified xsi:type="dcterms:W3CDTF">2015-03-06T18:24:04Z</dcterms:modified>
</cp:coreProperties>
</file>