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Sheet1" sheetId="1" r:id="rId1"/>
    <sheet name="Sheet2" sheetId="2" r:id="rId2"/>
    <sheet name="Sheet3" sheetId="3" r:id="rId3"/>
  </sheets>
  <definedNames>
    <definedName name="_xlnm._FilterDatabase" localSheetId="0" hidden="1">'Sheet1'!$A$1:$N$3105</definedName>
    <definedName name="TC2_OUTAGE_2014" localSheetId="0">'Sheet1'!$B$1:$N$3103</definedName>
  </definedNames>
  <calcPr fullCalcOnLoad="1"/>
</workbook>
</file>

<file path=xl/sharedStrings.xml><?xml version="1.0" encoding="utf-8"?>
<sst xmlns="http://schemas.openxmlformats.org/spreadsheetml/2006/main" count="25882" uniqueCount="1752">
  <si>
    <t>project</t>
  </si>
  <si>
    <t>task</t>
  </si>
  <si>
    <t>expenditure_type</t>
  </si>
  <si>
    <t>month_number</t>
  </si>
  <si>
    <t>vendor_name</t>
  </si>
  <si>
    <t>expenditure_comment</t>
  </si>
  <si>
    <t>project_description</t>
  </si>
  <si>
    <t>bud_class_category</t>
  </si>
  <si>
    <t>bud_class_code</t>
  </si>
  <si>
    <t>long_description</t>
  </si>
  <si>
    <t>scheduled_outage</t>
  </si>
  <si>
    <t>po_number</t>
  </si>
  <si>
    <t>invoice_description</t>
  </si>
  <si>
    <t>amount</t>
  </si>
  <si>
    <t>0285</t>
  </si>
  <si>
    <t>TC2S14</t>
  </si>
  <si>
    <t>COUPLER,MALE,QUICK DISCONNECT,1/4"</t>
  </si>
  <si>
    <t>PAINT,SPRAY,YELLOW,16 OZ CAN</t>
  </si>
  <si>
    <t>PAINT,ULTRA FLAT BLACK,SPRAY MC-VARIOUS JOBS</t>
  </si>
  <si>
    <t>PAINT,SPRAY,TRUE BLUE(OSHA) GENERAL PURPOSE</t>
  </si>
  <si>
    <t>PAINT,"ELECTRIC GREEN",AEROSOL CAN, SOLVENT BASE USED FOR SAFETY AND AISLE MARKING 12/BOX</t>
  </si>
  <si>
    <t>BRUSH,PAINT,1",POLYESTER</t>
  </si>
  <si>
    <t>PAINT,BLACK,SPRAY,12 OZ AEROSOL CAN, GLOSSY, OSHA,SIX CANS PER CARTON FREE BIN ITEM - CR</t>
  </si>
  <si>
    <t>PAINT,PRIMER,GRAY,SPRAY,12 OZ AEROSOL CAN, ALL PURPOSE FREE BIN ITEM - CR</t>
  </si>
  <si>
    <t>KNIFE\UTILITY.SELF RETRACTING.</t>
  </si>
  <si>
    <t>ARBOR,HOLESAW,3/8"CHUCK,FOR 5/8"TO1-3/16 HOLESAWS NO SUBSTITUTE PLEASE</t>
  </si>
  <si>
    <t>BLADE,SAWZALL 6" 18TH BI-METAL, 5/PER PKG.</t>
  </si>
  <si>
    <t>GLOVE\MECHANIC, WHITE, LARGE</t>
  </si>
  <si>
    <t xml:space="preserve">PLUG,CORD,125V,15AMP,2POLE,3WIRE GRND, STRAIGHT BLADE,FOR CORD DIA. .335-.640, WOODHEAD P/N 5266 OR </t>
  </si>
  <si>
    <t>GLOVE\MECHANIC, BLUE, EXTRA LARGE</t>
  </si>
  <si>
    <t>GLOVE\MECHANIC, BROWN, LARGE</t>
  </si>
  <si>
    <t>TAPE,BARRICADE,"CAUTION",YELLOW/BLACK LETTERS,3" X 1000' ROLL</t>
  </si>
  <si>
    <t>TAPE,BARRIER,'DANGER',FOR MILL CREEK FREE BIN STOCK</t>
  </si>
  <si>
    <t>TAPE,FRICTION,COTTON FABRIC,3/4" X 15 MIL X 60',BLACK</t>
  </si>
  <si>
    <t>SEALANT\ADHESIVE:SILICONE RTV:FAST CURING:</t>
  </si>
  <si>
    <t>TAPE,DUCT,OLIVE DRAB,2"</t>
  </si>
  <si>
    <t>BUCKET,WATER,GALVANIZED STEEL,12 QUART</t>
  </si>
  <si>
    <t xml:space="preserve">TAPE,ELEC,3/4"X 66',PREMIUM GREY .007" THICK,(NOTE-#4472 IS WITH SLEEVE PAK, #4473 IS BULK PAK,8816 </t>
  </si>
  <si>
    <t>GLOVES\WORK.GRAIN PALM &amp; INDEX.EXTRA LARGE.LEATHER/SPLIT BACK W/ELASTIC.</t>
  </si>
  <si>
    <t>SEALANT,HIGH TEMPERATURE CLEAR,8 OUNCE AREOSOL TUBE</t>
  </si>
  <si>
    <t>UNISTRUT,1"X 10' LONG,GALVANIZED,PUNCHED HOLE</t>
  </si>
  <si>
    <t>TAPE,VULKO-WRAP,50 MIL THICK,15,000 VOLT 33' LONG</t>
  </si>
  <si>
    <t>STEEL,ROUND,1"X 20'LG,H.R. EID: M0STBSBR</t>
  </si>
  <si>
    <t>0286</t>
  </si>
  <si>
    <t>0301</t>
  </si>
  <si>
    <t>MEINERS ELECTRIC</t>
  </si>
  <si>
    <t>0304</t>
  </si>
  <si>
    <t>PIC GROUP INC</t>
  </si>
  <si>
    <t>-Base crew maintenance support labor at Trimble (Inv# 500030030)</t>
  </si>
  <si>
    <t>YOUNGBLOOD CONSTRUCTION INC</t>
  </si>
  <si>
    <t>-LABOR - TO PAY FOR (1) WEEK OF SERVICES FOR TRIMBLE COUNTY STATION - WK. ENDING 4/13/14</t>
  </si>
  <si>
    <t>-Base crew labor hours at Trimble (Inv# 500030452) Wk ending 5/9/14</t>
  </si>
  <si>
    <t>-LABOR - TO PAY FOR (1) WEEK OF SERVICES FOR TRIMBLE COUNTY STATION - WK. ENDING 4/6/14</t>
  </si>
  <si>
    <t>-Mechanical maintenance services at Trimble (Inv# 500030323) Wk ending 5/2/14</t>
  </si>
  <si>
    <t>-Base crew labor hours at Trimble (Inv# 500030168) wk ending 4/18/14</t>
  </si>
  <si>
    <t>RANDSTAD NORTH AMERICA LP</t>
  </si>
  <si>
    <t>0418</t>
  </si>
  <si>
    <t>KENTUCKY STATE TREASURER</t>
  </si>
  <si>
    <t>KENTUCKY USE TAX AT 6%</t>
  </si>
  <si>
    <t>TOOLE AND ROSE SUPPLY</t>
  </si>
  <si>
    <t>0427</t>
  </si>
  <si>
    <t>ANIXTER INC</t>
  </si>
  <si>
    <t>HERRICK ELECTRIC</t>
  </si>
  <si>
    <t>NEILL LAVIELLE SUPPLY CO</t>
  </si>
  <si>
    <t>REXEL SOUTHLAND</t>
  </si>
  <si>
    <t>MAGNOLIA METAL CORP</t>
  </si>
  <si>
    <t>0512</t>
  </si>
  <si>
    <t>TRMS Costs Allocated from Project VEHL2004</t>
  </si>
  <si>
    <t>0643</t>
  </si>
  <si>
    <t>0653</t>
  </si>
  <si>
    <t>TC2 - SCR Layer 1 Catalyst Changeout - Capital</t>
  </si>
  <si>
    <t>SEALANT,RTV,HIGH TEMPERATURE RED,8 OUNCE AEROSOL TUBE</t>
  </si>
  <si>
    <t>EARLY CONSTRUCTION INC</t>
  </si>
  <si>
    <t>PETROCHEM INSULATION INC</t>
  </si>
  <si>
    <t>-Base crew labor hours at Trimble (Inv# 174615) 3/31/14 - 4/27/14</t>
  </si>
  <si>
    <t>-Payment of Invoice - Base crew labor hours at Trimble (Inv# 176434) 4/28/14 - 5/25/14</t>
  </si>
  <si>
    <t>MCJUNKIN RED MAN CORPORATION</t>
  </si>
  <si>
    <t>NIEMCO FABRICATORS INC</t>
  </si>
  <si>
    <t>0303</t>
  </si>
  <si>
    <t>THOMPSON INDUSTRIAL SERVICES LLC</t>
  </si>
  <si>
    <t>SEALANT,RTV HI TEMP(RED),10.3 OZ CAULKIN G TUBE</t>
  </si>
  <si>
    <t>AP SERVICES LLC</t>
  </si>
  <si>
    <t>Expense Report</t>
  </si>
  <si>
    <t>FEDEX FREIGHT</t>
  </si>
  <si>
    <t>BIT,DRILL,HIGH SPEED,1/4",STRAIGHT SHANK,JOBBERS LGTH. STD. PKG. 12</t>
  </si>
  <si>
    <t>BIT,DRILL,HIGH SPEED,1/2",STRAIGHT SHANK,JOBBERS LGTH.</t>
  </si>
  <si>
    <t>BIT,DRILL,HIGH SPEED,3/4",1/2" STRAIGHT,SHANK,JOBBERS LGTH.</t>
  </si>
  <si>
    <t>BIT,DRILL,HIGH SPEED,5/16",STRAIGHT SHANK,JOBBERS LGTH. STD. PKG. OF 6</t>
  </si>
  <si>
    <t>GLOVE,WELDING,LARGE ALL LEATHER,WIDE TOP CUFFS</t>
  </si>
  <si>
    <t>SOLVENT,NON-CHLORINATED,PRO-POWER,20KV DIELECTRIC STRENGTH,FOR DEGREASING AND ELECTRICAL CLEANING</t>
  </si>
  <si>
    <t>PAD, ABSORBENT,17-1/2"X 17-1/2"X 3/8" THICK,ORDERED IN EACH (100 EACH EQUALS 1 BAG)</t>
  </si>
  <si>
    <t>TUBING,STAINLESS STEEL,1/4",20' LENGTHS,SEAMLESS,T-316,.035 W. M.C. EID: M0PLT</t>
  </si>
  <si>
    <t>TUBING,STAINLESS STEEL,1/2"OD,.065 WALL, SMLS,GR-T-316,20'0" LGTHS M.C. EID: M0PLT</t>
  </si>
  <si>
    <t>ATLAS MACHINE AND SUPPLY INC</t>
  </si>
  <si>
    <t>-Services for 1/27/14 through 2/23/14 at Trimble. (Inv#170772)</t>
  </si>
  <si>
    <t>-Monthly labor charges for various jobs at Trimble (Inv# 173464) 2-24-14 through 3-30-14</t>
  </si>
  <si>
    <t>MOTION INDUSTRIES INC</t>
  </si>
  <si>
    <t>FORBERG SCIENTIFIC INC</t>
  </si>
  <si>
    <t>FEDEX</t>
  </si>
  <si>
    <t>TC2S15</t>
  </si>
  <si>
    <t>FITTING,HOSE,END,CHICAGO,3/4"</t>
  </si>
  <si>
    <t>FITTING,FEMALE,CHICAGO,1"</t>
  </si>
  <si>
    <t>GLOVE\MECHANIC, WHITE, MEDIUM</t>
  </si>
  <si>
    <t>GLOVE\MECHANIC, WHITE, EXTRA LARGE</t>
  </si>
  <si>
    <t>CLAMP,TUBE,1/4"OD FREE BIN ITEM - TC,CR</t>
  </si>
  <si>
    <t>UNISTRUT,1-5/8"X 10' LONG GALVANIZED</t>
  </si>
  <si>
    <t>CLEANER-DEGREASER,DJC-201PS II,PLASTIC SAFE, FOR ELECTRICAL AND ELECTRONIC EQUIPMENT</t>
  </si>
  <si>
    <t>CONDUIT,ALUMINUM,3/4",10' SECTIONS ASSOCIATED PARTS AS FOLLOWS; ....IIN 1184101.CONDUIT BODY,TYPE TB</t>
  </si>
  <si>
    <t>HOSE\AIR...3/4" X 50'.300 PSI, WITH AM6 QUICK COUPLING CRIMPED ON EACH END</t>
  </si>
  <si>
    <t>WELLS TECHNOLOGY INC</t>
  </si>
  <si>
    <t>MACOMB GROUP</t>
  </si>
  <si>
    <t>HYDROTECH INC</t>
  </si>
  <si>
    <t>-</t>
  </si>
  <si>
    <t>TAPE,TEFLON,1/2"X 520" THREAD PIPE JOINT FREE BIN ITEM - CR, TC</t>
  </si>
  <si>
    <t>TC2 Redundant Reactant Supply Line Installation</t>
  </si>
  <si>
    <t>BIT,DRILL,HIGH SPEED,15/64",STRAIGHT SHANK,JOBBERS LGTH.</t>
  </si>
  <si>
    <t>GRIP,CORD,3/4" MALE STRAIGHT,CORD DIAMETER .56"-.75"</t>
  </si>
  <si>
    <t>RECEPTACLE,MALE,3 PRONG,TYPE 500 CORD, EXTRA HEAVY DUTY TC MISC PLANT EQUIPMENT</t>
  </si>
  <si>
    <t>CONNECTOR,QUICK CONNECT,3 PRONG,6',TYPE 500 CORD,EXTRA HEAVY DUTY TC MISC PLANT EQUIPMENT</t>
  </si>
  <si>
    <t>EVANS CONSTRUCTION CO INC</t>
  </si>
  <si>
    <t>PLASTIFAB INC</t>
  </si>
  <si>
    <t>BUSHING,REDUC,CNDT,1-3/4",SMALL,STL,OR CAST IRON FOR RIGID OR IMC CONDUIT FITTINGS FREE BIN ITEM - T</t>
  </si>
  <si>
    <t>-Payment of invoice  -Various scaffolding jobs at Trimble (Inv# 179170) 5/26/14 - 6/29/14</t>
  </si>
  <si>
    <t>US BANK NATIONAL ASSOCIATION ND</t>
  </si>
  <si>
    <t>PROCARD</t>
  </si>
  <si>
    <t>TC000CA-</t>
  </si>
  <si>
    <t>ATLAS COPCO COMPRESSORS LLC</t>
  </si>
  <si>
    <t>Compressed Air</t>
  </si>
  <si>
    <t>GEN MTC: ALL OTHER MAINT.</t>
  </si>
  <si>
    <t>COMPRESSED AIR SYSTEMS</t>
  </si>
  <si>
    <t>2A house air comp disch vlv 2HAv001 will not close</t>
  </si>
  <si>
    <t>TC2S16</t>
  </si>
  <si>
    <t>-Maintenance support labor at Trimble (Inv# AME32318)</t>
  </si>
  <si>
    <t>Instrument air line on the mez south of essential switchgear room is broken</t>
  </si>
  <si>
    <t>-Maintenance services for Trimble (Inv# AME32422) bill rate adjustment 2/1/14 - 2/28-14</t>
  </si>
  <si>
    <t>2A Instrument Air Compressor closed cooling inlet and outlet pipe leaking f</t>
  </si>
  <si>
    <t>2B Instrument Air Compressor closed cooling outlet pipe leaking from flange</t>
  </si>
  <si>
    <t>AIR TECHNOLOGIES</t>
  </si>
  <si>
    <t>The 2A + 2B house air compressor HP element needs replaced</t>
  </si>
  <si>
    <t>TC000FP-</t>
  </si>
  <si>
    <t>Fire Protection - 002650</t>
  </si>
  <si>
    <t>GEN MTC: BUILDINGS/GROUNDS</t>
  </si>
  <si>
    <t>STRUCTURES</t>
  </si>
  <si>
    <t>TC 2 Turbine Bearing Fire System Piping is leaking air from a T at #4 Turbi</t>
  </si>
  <si>
    <t>-Maintenance support labor at Trimble (Inv# AME33434) May, 2014 (Knox &amp; Peer)</t>
  </si>
  <si>
    <t>TC000PLT</t>
  </si>
  <si>
    <t>General Plant</t>
  </si>
  <si>
    <t>GEN OPS: PLANT OPERATION</t>
  </si>
  <si>
    <t>OPERATIONS - GEN PLANT</t>
  </si>
  <si>
    <t>Work order to cover temporary power on TC2S14 outage.</t>
  </si>
  <si>
    <t>FLASHLIGHT,INDUSTRIAL,2 CELL, SIZE D BATTERY USED</t>
  </si>
  <si>
    <t>TIE\WRAP-T..24"L,5/16"W,175 LB TENSIL STRENGTH,BLACK.</t>
  </si>
  <si>
    <t xml:space="preserve">CONNECTOR,CORD,PLUG,RECEPTACLE,15A,125V 2POLE,3WIRE GROUNDING,FOR CORD DIA. .335 -.640,WOODHEAD P/N </t>
  </si>
  <si>
    <t>BALLAST KIT,HI PRES SODIUM,250W QUADRI- VOLT,120/208/240/277 CWA W/IGNITOR,CAP- ACITOR,STRAPS &amp; BOLT</t>
  </si>
  <si>
    <t>LAMP,HIGH PRESSURE SODIUM,150 WATTS, 120VAC,BULB E17,MEDIUM BASE,CLEAR FINISH,USE ONLY WITH 555 BALL</t>
  </si>
  <si>
    <t>BALLAST,100W,H.P.S.,12-/208/240/277 VAC,QUADRI-VOLT MC:TRANSFORMER LIGHTS</t>
  </si>
  <si>
    <t>LAMP,HIGH PRESSURE SODIUM,100WATT,MEDIUM BASE COMMON LIGHTING FREE BIN ITEM - CR</t>
  </si>
  <si>
    <t>BALLAST.HPS.150W.120/277V, P/N LU150/MULTI-KIT MAGC HID BAL</t>
  </si>
  <si>
    <t>WIRE\HOOK UP, SO CABLE\#6-4 CONDUCTOR</t>
  </si>
  <si>
    <t>SAW,HOLE,2"DIA NO SUBSTITUTE PLEASE</t>
  </si>
  <si>
    <t>ARBOR,HOLE SAW,W/SPRING PINS 7/16" CHUCK FOR 1-1/4" TO 6" HOLE SAW NO SUBSTITUTES PLEASE</t>
  </si>
  <si>
    <t>BIT,DRILL,HIGH SPEED,#21,STRAIGHT SHANK,JOBBERS LGTH. 12/PKG</t>
  </si>
  <si>
    <t>WIRE,TYPE SO,14/3,CU,600V,VU-TRON,YELLOW USE AS EXTENSION CORDS,ETC;250FT/BOX</t>
  </si>
  <si>
    <t>WIRE,TYPE SO,#10,4/C,600-VOLT CABLE FOR TEMPORARY WIRING</t>
  </si>
  <si>
    <t>-FUSE - AJT100 600V 100A Class J TD Fuse</t>
  </si>
  <si>
    <t>-REDUCER,FUSE - J166 60-100A J Fuse Reducer PR</t>
  </si>
  <si>
    <t>-BLOCK,FUSE -61008SJ  600V 100A Small J 3P Fuse block</t>
  </si>
  <si>
    <t>-REDUCER,FUSE - J136 30-100A J Fuse Reducer PR</t>
  </si>
  <si>
    <t>TC2  check all terminations on all Bentley Nevada equipment monitoring pane</t>
  </si>
  <si>
    <t>TC2WKD</t>
  </si>
  <si>
    <t>TC000PRD</t>
  </si>
  <si>
    <t>Power Distribution - 002650</t>
  </si>
  <si>
    <t>GEN MTC: POWER DISTRIBUTION</t>
  </si>
  <si>
    <t>ACCESSORY ELECTRICAL EQUIPMENT</t>
  </si>
  <si>
    <t>Clean TC2 Switchgear 2014</t>
  </si>
  <si>
    <t>FUSE,600V,5A,100,000 SC,SIZE 2 OPEN STOCK</t>
  </si>
  <si>
    <t>THERMOSTAT,FIRE-ALARM 194 DEG. F, 1/2"NPT MOUNT TC: FIRE SYSTEM AT TC</t>
  </si>
  <si>
    <t>MIDWEST SWITCHGEAR SERVICES LLC</t>
  </si>
  <si>
    <t>-LABOR - Clean 480V switchgear breakers</t>
  </si>
  <si>
    <t>-KIT,CABLE TERMINATION - 7624-T-110, 14KV CABLE TERMINATION KIT</t>
  </si>
  <si>
    <t>ASSEMBLY\TRUCK.BREAKER</t>
  </si>
  <si>
    <t>Inspect and repair 2B 14KV bus section after trip</t>
  </si>
  <si>
    <t>C E POWER SOLUTIONS LLC</t>
  </si>
  <si>
    <t>-Invoice 11722</t>
  </si>
  <si>
    <t>-LOCKNUT - LN 110, 4" MI LOCKNUT</t>
  </si>
  <si>
    <t>-NUT,SPRING - A100 1/2, SS A1001/2 EG REGULAR SPRING NUT 1/</t>
  </si>
  <si>
    <t>-BRACKET - B115ZN, 4 HOLE STRUT ANGLE BRACKET</t>
  </si>
  <si>
    <t>-CLAMP,HOLD DOWN - 9ZN-1208, ZN PLATE CABLE TRAY HOLD DOWN CLAMPS</t>
  </si>
  <si>
    <t>-FITTING,FLAT PLATE - AB241 1/2EG, SS AB2411/2EG FLAT PLATE FITTING</t>
  </si>
  <si>
    <t>-ROD,THREADED - 00170-2810-501, 1/2-13 X 10' ALL THREAD ROD NC ZB</t>
  </si>
  <si>
    <t>-BUSHING,GROUND - GLL10, GLL10 4" GROUND BUSHING</t>
  </si>
  <si>
    <t>-NIPPLE,CHASE - 59, 4" GRC CHASE NIPPLE</t>
  </si>
  <si>
    <t>-LUGS - YA312N, 350 CU 2 HOLE LONG 1/2</t>
  </si>
  <si>
    <t>-DIE - U31RT, 350 MCM 12-TON U DIE</t>
  </si>
  <si>
    <t>-CRIMP,HYD - Y35, 12 TON HYD TOOL</t>
  </si>
  <si>
    <t>TC000RS-M</t>
  </si>
  <si>
    <t>Limestone Ball Mills</t>
  </si>
  <si>
    <t>GEN MTC: ENVIRONMENTAL</t>
  </si>
  <si>
    <t>LIMESTONE PREP</t>
  </si>
  <si>
    <t>Reactant Prep - A Ball Mill Gearbox Changeout</t>
  </si>
  <si>
    <t>COMPOUND,SEALING,CABLE,(DUCT),5 LB BAG, NON-TOXIC,NON-IRRITATING,PERMANENTLY PLIABLE,NON-STAINING</t>
  </si>
  <si>
    <t>MOHLER TECHNOLOGY INC</t>
  </si>
  <si>
    <t>-LABOR - "A" ball mill motor bearing inspection</t>
  </si>
  <si>
    <t>ENERFAB INC</t>
  </si>
  <si>
    <t>-ADDED LABOR HOURS BY ENERFAB DUE TO LG&amp;E INSPECTION AND REPAIR OF "A" BALL MILL INCHING DRIVE MOTOR IN ACCORDANCE WITH THE ATTACHED CHANGE ORDER 01.</t>
  </si>
  <si>
    <t>-CHANGE ORDER 03 FOR ADDED LABOR CHARGES TO INSPECT AIR CLUTCH AND PARTS EVALUATION ON 4/25 AND 4/26/14.</t>
  </si>
  <si>
    <t>APPLIED POWER SOLUTIONS</t>
  </si>
  <si>
    <t>-ADDED SCOPE AND REMOBILIZATION TO RE-ASSEMBLE AND RE-INSTALL THE "A" BALL MILL GEARBOX CLUTCH &amp; COUPLING IN ACCORDANCE WITH THE ATTACHED CHANGE ORDER 02 FOR A LUMP SUM ESTIMATE OF $26,068.</t>
  </si>
  <si>
    <t>-REPLACE GEARBOX "A":</t>
  </si>
  <si>
    <t>PHILADELPHIA GEAR CORP</t>
  </si>
  <si>
    <t>-FIELD SERVICES:  TECH ADVISOR; GEARBOX REPLACEMENT WORK BY OTHERS.  FGD 235 HP1 BALL MILL "A" REDUCER SWAP.  T&amp;M NTE $29,430.</t>
  </si>
  <si>
    <t>MISTRAS GROUP INC SERVICES DIVISION</t>
  </si>
  <si>
    <t>-CHANGE ORDER 04 ADDED SCOPE, T &amp; M LABOR, &amp; OTHER T &amp; M CHARGES DUE TO NON-ALIGNABLE GEARBOX, MOTOR, &amp; RE-BUILT AIR COUPLING REMOVAL &amp; RE-INSTALLATION, PLUS REPAIR OF THE AIR SYSTEM SUPPLYING THE PNEUMATIC COUPLING, PER ATTACHED C/O4.</t>
  </si>
  <si>
    <t>-TO PAY FOR (1) WEEK OF SERVICES FOR TRIMBLE COUNTY STATION - WK ENDING 8/10/14</t>
  </si>
  <si>
    <t>-TO PAY FOR (1) WEEK OF SERVICES FOR TRIMBLE COUNTY STATION - WK. ENDING 9/07/14</t>
  </si>
  <si>
    <t>-GASKET - 412324-05 GASKET   IN: 05781769</t>
  </si>
  <si>
    <t>-KIT,SEAL - 1170T10 SEAL KIT IN: 01176919</t>
  </si>
  <si>
    <t>-STEEL,SHEET - 12 GA (.100) SS T304 SHEET 12" X 120"</t>
  </si>
  <si>
    <t>-LOCKWASHER - 000068X0031 LOCKWASHER</t>
  </si>
  <si>
    <t>-SCREW,HEX HEAD CAP - 000001X0911 HEX HEAD CAP SC</t>
  </si>
  <si>
    <t>-SCREW,HEX HEAD CAP - 000001X0912 HEX HEAD CAP S</t>
  </si>
  <si>
    <t>-SCREW - 000197X0923 SCREW</t>
  </si>
  <si>
    <t>-NUT - 000110X0032 STOP NUT</t>
  </si>
  <si>
    <t>-Quantity two (2) - 1" Sch 80, 8" long pipe nipple, with remaining pipe stick delivered</t>
  </si>
  <si>
    <t>-SET OF BOLTS + NUTS 1170T10-1180T10 IN: 01195791</t>
  </si>
  <si>
    <t>-SCREW,HEX HEAD CAP - 000001X0812 HEX HEAD CAP S</t>
  </si>
  <si>
    <t>-STEEL,SHEET - 11 GA (.120) SS T304 SHEET 12" X 120"</t>
  </si>
  <si>
    <t>-SCREW,HEX HEAD - 000197X0921 HEX HEAD SCREW</t>
  </si>
  <si>
    <t>-SCREW,HEX HEAD CAP - 000001X0819 HEX HEAD CAP S</t>
  </si>
  <si>
    <t>-NUT,SELF LOCKING - 000110X0059 SELF LOCKING NUT</t>
  </si>
  <si>
    <t>-HUB,DRUM - 4085860001 51VC1600 DRUM HUB</t>
  </si>
  <si>
    <t>-REGISTER - 409712 51VC1600 REGISTER</t>
  </si>
  <si>
    <t>-REGISTER - 409711 51VC1600 REGISTER</t>
  </si>
  <si>
    <t>-PLATE,SIDE - 412165 51VC1600 SIDE PLATE</t>
  </si>
  <si>
    <t>-KIT,REBUILD - 107479P 51VC1600 REBUILD KIT</t>
  </si>
  <si>
    <t>TC000STB</t>
  </si>
  <si>
    <t>Structures and Buildings</t>
  </si>
  <si>
    <t xml:space="preserve">TC2 has  buckstay on landing 9 northwest corner of boiler overhead has pin </t>
  </si>
  <si>
    <t>TC2-27</t>
  </si>
  <si>
    <t>TC000SW-</t>
  </si>
  <si>
    <t>Service Water - 002650</t>
  </si>
  <si>
    <t>GEN MTC: WATER SYSTEMS</t>
  </si>
  <si>
    <t>SERVICE WATER</t>
  </si>
  <si>
    <t>Fix Service water pump speed indication on B and C pumps</t>
  </si>
  <si>
    <t>-TO PAY FOR (1) WEEK OF SERVICES FOR LG&amp;E SERVICE SHOP TEMP - WK. ENDING 5/18/14</t>
  </si>
  <si>
    <t>-TO PAY FOR (1) WEEK OF SERVICES FOR LG&amp;E SERVICE SHOP TEMP - WK. ENDING 4/13/14</t>
  </si>
  <si>
    <t>-LABOR - TO PAY FOR (1) WEEK OF SERVICES FOR TRIMBLE COUNTY STATION - WK. ENDING 5/18/14</t>
  </si>
  <si>
    <t>-TO PAY FOR (1) WEEK OF SERVICES FOR TRIMBLE COUNTY STATION - WK. ENDING 5/25/14</t>
  </si>
  <si>
    <t>0420</t>
  </si>
  <si>
    <t>ALRO STEEL CORP</t>
  </si>
  <si>
    <t>-STEEL,CHANNEL - 40551200 3" x 1-1/2" x 1/4" 304 S.S. CHANNEL 111 IN.</t>
  </si>
  <si>
    <t>TC000WTR</t>
  </si>
  <si>
    <t>Water Treatment</t>
  </si>
  <si>
    <t>WATER TREATMENT</t>
  </si>
  <si>
    <t>Condensate Polisher Acid Regen Leaks</t>
  </si>
  <si>
    <t>Condensate Polisher Sink Drain Leaking at weld to drain line</t>
  </si>
  <si>
    <t>TC2 Condensate Polisher Transfer Air Regulator Needs Replaced</t>
  </si>
  <si>
    <t>FLOSOURCE INC</t>
  </si>
  <si>
    <t>-6" Keystone Butterfly Valve</t>
  </si>
  <si>
    <t>PLUG\EAR.DISPOSABLE FOAM..REGULAR,REFILL,500 COUNT</t>
  </si>
  <si>
    <t>2B TDBFP SUCTION LINE AQUA AMMONIA INJECTION LINE IS LEAKING</t>
  </si>
  <si>
    <t>TC2-25</t>
  </si>
  <si>
    <t>QUILL\INJECTION.CHEMICAL,RETRACTIBLE,KENCO</t>
  </si>
  <si>
    <t>DEGREASER,ZONE DEFENSE,CITRUS,OZONE FRIENDLY CLEANSER, AEROSOL</t>
  </si>
  <si>
    <t>Replace diaphragm to the B Train Service Inlet Valve OCV-117</t>
  </si>
  <si>
    <t>DIAPHRAGM,VALVE, HYPALON 6",GRAVER JOB#12353;6" DIAPHRAGM VALVE W/ACTUATOR, 630 HRT CONTROL VALVE TC</t>
  </si>
  <si>
    <t>The NH3 injection piping at the "2A" TDBFP suction vlv is leaking. Please R</t>
  </si>
  <si>
    <t>The NH3 injection piping at the "2B" TDBFP suction vlv is leaking. Please R</t>
  </si>
  <si>
    <t>Replace the gasket on the 2B CP service vessel lid.</t>
  </si>
  <si>
    <t>TC2-29</t>
  </si>
  <si>
    <t>TC2S14OUT</t>
  </si>
  <si>
    <t>TC2 SPRING OUTAGE</t>
  </si>
  <si>
    <t>GEN O M: OUTAGES</t>
  </si>
  <si>
    <t>TRIMBLE CO 2</t>
  </si>
  <si>
    <t xml:space="preserve">'A' INDUCED DRAFT FAN MOTOR NEEDS TO BE CLEANED AS OIL HAS BEEN LEAKING ON </t>
  </si>
  <si>
    <t>-Labor to install 2 level indication probes on TC2 FGD</t>
  </si>
  <si>
    <t>Install full range level indication on unit 2 reaction tank. Provide tank c</t>
  </si>
  <si>
    <t>MACOMB GROUP\902356</t>
  </si>
  <si>
    <t>ERDMANN CORP</t>
  </si>
  <si>
    <t>-1 IN SCH 40 PIPE C276 NOZZLE MATERIAL 5 FT</t>
  </si>
  <si>
    <t>-1 150 FF FS Slip-on flange C276 material</t>
  </si>
  <si>
    <t>-ZZV 1 TUFLINE XLB-12A-1-P6-28-P16-H, 150# FLG BALL VALVE, PFA LINED, LKG.HANDLE</t>
  </si>
  <si>
    <t>RELIABLE HOT SHOT DELIVERY INC</t>
  </si>
  <si>
    <t>-Freight for PO# 902318</t>
  </si>
  <si>
    <t>-Additional freight for PO# 902318</t>
  </si>
  <si>
    <t>BUSHING,REDUC,CNDT,3/4-1/2",SMALL,STL OR CAST IRON FOR RIGID OR IMC CONDUIT FITTINGS FREE BIN ITEM -</t>
  </si>
  <si>
    <t>'A' Condensate Polisher Vessel Will NOT Pressurize After Transfer</t>
  </si>
  <si>
    <t>CORD GRIP 1/2 MALE STRAIGHT 0.188"-0.56" WIRE SIZE</t>
  </si>
  <si>
    <t>CONNECTOR,MALE,3/8"TUBE X 1/4"NPT,SS FREE BIN ITEM - TC,CR</t>
  </si>
  <si>
    <t>DISCONNECT,4 POLE MALE W/LEADS,MINIATURE,QUICK, USE WITH P/N 104000A01F120 (IIN 3003403)-FEMALE PLUG</t>
  </si>
  <si>
    <t>CORD,QUICK DISCONNECT,5 PIN,600 VOLT,8 AMPS,6 FOOT LENGTH</t>
  </si>
  <si>
    <t>CABLE,POWER,600V,8A,SAFETY YELLOW,WTR TRMT,#16/4 STO/105 DEG.C,CSA ST, SOLENOIDS IN PLANT &amp; FIELD</t>
  </si>
  <si>
    <t>RECEPTACLE,MALE,5 PRONG,TYPE 500 CORD, EXTRA HEAVY DUTY TC MISC PLANT EQUIPMENT</t>
  </si>
  <si>
    <t>SCEPTRE MECHANICAL INC\900629</t>
  </si>
  <si>
    <t>SCEPTRE MECHANICAL INC</t>
  </si>
  <si>
    <t>-SEAL,BALL VALVE - 4" Memory Seal Ball Valve Velan</t>
  </si>
  <si>
    <t>-LABOR - Removed Condenser Vacuum Pump Week 3</t>
  </si>
  <si>
    <t>Check out 2"B" condenser vacuum pump out board pump casing on northside tow</t>
  </si>
  <si>
    <t>GARDNER DENVER NASH LLC\900013</t>
  </si>
  <si>
    <t>GARDNER DENVER NASH LLC</t>
  </si>
  <si>
    <t>BIT,DRILL,HIGH SPEED,#7,STRAIGHT SHANK,JOBBERS LGTH 12 PER PKG.</t>
  </si>
  <si>
    <t>TC2 7KV and 14KV breakers need to have the manual close</t>
  </si>
  <si>
    <t>LIGHTER,SPARK,PYRO,SINGLE FLINT,FOR ACETYLENE TORCH</t>
  </si>
  <si>
    <t>TAP,HAND,BOTTOM,1/4-20,HIGH SPEED, GROUND THREAD</t>
  </si>
  <si>
    <t>PLUG\EAR.DISPOSABLE FOAM..LARGE,REFILL,400 COUNT</t>
  </si>
  <si>
    <t>TC2 Turbine oil cooler 3-way valve needs repaired.</t>
  </si>
  <si>
    <t>BIT,DRILL,HIGH SPEED,3/32",STRAIGHT SHANK,JOBBERS LGTH.,STD. PKG. OF 12</t>
  </si>
  <si>
    <t>BOTTLE,SPRAY TRIGGER,32OZ,SPRAYER SPRIZIT DELUXE COMPLETE</t>
  </si>
  <si>
    <t>TIE,PLASTIC,SMALL,8-1/8"LGH,100/PKG (P/N L-8-40-9-C COMES 100/PKG) (P/N L-8-40-9-M COMES 1000/PKG) F</t>
  </si>
  <si>
    <t>BIT,DRILL,HIGH SPEED,17/32",1/2"SHANK, JOBBERS LGTH.</t>
  </si>
  <si>
    <t>TAP,PIPE,HIGH SPEED,1/2-14</t>
  </si>
  <si>
    <t>STEEL,FLAT,1/2"X 3"X 20'LG,H.R. FOR USE AT M.C. AND VARIOUS LOCATIONS EID: M0STBSBR</t>
  </si>
  <si>
    <t>LINER,WASTEBASKET,56 GAL,HEAVY DUTY, PLASTIC,GRAY,</t>
  </si>
  <si>
    <t>ABSORBENT,ROLL,ABSORBS PETROLEUM PRODUCTS-REPELS WATER,ORDER BY THE BALE TC: OIL LEAKS AND SPILLS SI</t>
  </si>
  <si>
    <t>ELEMENT.FILTER.DUPLEX OIL FILTER</t>
  </si>
  <si>
    <t>-SERVICE - Repair work done on Turbine Oil Cooler 3way Valve</t>
  </si>
  <si>
    <t>-LABOR - Reinstalled Turbine Oil Cooler 3way Valve Week4</t>
  </si>
  <si>
    <t>Replace upper flange on 2A codensate heater MOV 2-CD-MOV 546 A</t>
  </si>
  <si>
    <t>2CWFT160B 2B CTWR Blowdown flowrate is reading bad quality.</t>
  </si>
  <si>
    <t>OIL\PENETRATING.SILIKROIL..10 OZ AEROSOL CAN.</t>
  </si>
  <si>
    <t>STRAP,CONDUIT,PUSH-ON,1 HOLE,1/2", STAMPED STEEL, FOR RIGID OR IMC CONDUIT FITTINGS MC: VARIOUS LOCA</t>
  </si>
  <si>
    <t>STRAP,CNDT,PUSH-ON,1 HOLE,3/4",STAMPED STEEL 100/CARTON</t>
  </si>
  <si>
    <t>HANGER,CNDT,3/4",STAMPED STL,W/BOLT FREE BIN ITEM - CR MC: VARIOUS LOCATIONS;100/CARTON</t>
  </si>
  <si>
    <t>PAINT,MEDIUM (DOVE)GRAY,SPRAY 6/BOX FREE BIN ITEM - CR</t>
  </si>
  <si>
    <t>SHACKLE,3/8"</t>
  </si>
  <si>
    <t>SHACKLE,1/2"</t>
  </si>
  <si>
    <t>BOOTS\OVERSHOE.5 BUCKLE.SIZE 16.RUBBER..</t>
  </si>
  <si>
    <t>GLOVES\WORK.GRAIN PALM &amp; INDEX.LARGE.LEATHER/SPLIT BACK W/ELASTIC.</t>
  </si>
  <si>
    <t>CONDUIT,SEALTITE,1/2",TYPE UA,W/BUILT IN COPPER GROUND,GALV STEEL,COMES IN 100 FT ROLLS.</t>
  </si>
  <si>
    <t>TRIVACO</t>
  </si>
  <si>
    <t>0222</t>
  </si>
  <si>
    <t>PROBE\VELOCITY.SEISMOPROBE</t>
  </si>
  <si>
    <t>TC2 Turbine Cap vibration 11Y is reading erratically</t>
  </si>
  <si>
    <t>VALVE.SERVO.2-MST-CV-001A</t>
  </si>
  <si>
    <t>Install servo manifolds for TC2 turbine valves after modications to them ar</t>
  </si>
  <si>
    <t>LUBRICANT,ANTI-SIEZE,NO GRAB,WITH APPLICATOR</t>
  </si>
  <si>
    <t>KNIFE,PUTTY,1-1/2"</t>
  </si>
  <si>
    <t>air operated fly ash valve will not open on the "C" fly ash rotary feeder</t>
  </si>
  <si>
    <t>SHIELD\FACE::CLEAR PLASTIC,TC: USE WITH IIN 0937843</t>
  </si>
  <si>
    <t>BRACKET,SAFETY SHIELD,USED ON V TYPE HARD HATS</t>
  </si>
  <si>
    <t>TAP,HAND,PLUG,SIZE 7/8-9,HIGH SPEED, GROUND THREAD</t>
  </si>
  <si>
    <t>HAT,SAFETY,V-GARD COMPLETE WITH RATCHET SUSPENSION,POLYETHYLENE,WHITE,WITH LGE LOGO EMBOSSED ON FRON</t>
  </si>
  <si>
    <t>TAP,HAND,TAPER,SIZE 1-8,HIGH SPEED, GROUND THREAD</t>
  </si>
  <si>
    <t>BUSHING\, 2-1/2 FLYASH ROTARY FEEDER</t>
  </si>
  <si>
    <t>SHEET\STEEL..1/2"x4'x8' H.R..</t>
  </si>
  <si>
    <t>HOSE,1/4" RUBBER,250 PSI,PARKER PUSH-LOK 1/4" X 1F,8-3Q92,WP 250 PSI,BLUE MC-I/E TEST EQUIPMENT &amp; VA</t>
  </si>
  <si>
    <t>SCEPTRE MECHANICAL INC\899934</t>
  </si>
  <si>
    <t>-Duco 12" Knifegate</t>
  </si>
  <si>
    <t>-18016/817988FRT/2</t>
  </si>
  <si>
    <t>-Additional freight for PO# 899934</t>
  </si>
  <si>
    <t>-18016/817988FRT/1</t>
  </si>
  <si>
    <t>-18016/817998FRT/1</t>
  </si>
  <si>
    <t>ELECTRODE\ORP..7" INSERTION LENGTH,INCLUDE CABLE FOR CONNECTION TO J-BOX/BACK-END ASSY</t>
  </si>
  <si>
    <t>Install and setup ORP probes and transmitters on TC2 scrubber.</t>
  </si>
  <si>
    <t>CABLE\CONNECTION, 5 METER, PH PROBE</t>
  </si>
  <si>
    <t>-LABOR/MATERIL - Install two 1 1/4" ports in fiberglass line at Unit 2 scubber.</t>
  </si>
  <si>
    <t>Check the calibration of the 2B FD Fan blade actuator and its associated li</t>
  </si>
  <si>
    <t>-Vacuum and waterblast TC2 sumps at Trimble (Inv# 52928)</t>
  </si>
  <si>
    <t>Work with Thompson on cleaning out the oil water separator on unit 2</t>
  </si>
  <si>
    <t>BIT,DRILL,HIGH SPEED,19/64",STRAIGHT SHANK,JOBBERS LGTH. 6 PER PKG.</t>
  </si>
  <si>
    <t>Move Econ. hopper actuator solenoid buttons to east side of hopper piping f</t>
  </si>
  <si>
    <t>ASSEMBLY.TRIM.DOUBLE PLUG.SOFT SEAT.8" CLASS 2900.C/W ATI ACTUATOR.2-BFD-CV-054A/B. FOR S/N 0710-137</t>
  </si>
  <si>
    <t>Inspect the 2A TDBFP recirc valve 2-BFD-CV-054A valve appears to be leaking</t>
  </si>
  <si>
    <t>BRUSH\BATTERY POST.HAND.1/2".3x7.7 1/2".WOOD,TC BATT. PM</t>
  </si>
  <si>
    <t>PACKING.2-BFD-CV-057</t>
  </si>
  <si>
    <t>GASKET.TRIM.2-BFD-CV-057</t>
  </si>
  <si>
    <t>SPX FLOW CONTROL</t>
  </si>
  <si>
    <t>SPX FLOW TECHNOLOGY</t>
  </si>
  <si>
    <t>NUT\ADAPTOR.1.5",HOSE, FOR TC2 WATER CANNONS</t>
  </si>
  <si>
    <t>The Boiler drains recovery vessel manual level control valves need replaced</t>
  </si>
  <si>
    <t>GASKET,HUB FLANGE,METAL</t>
  </si>
  <si>
    <t>SET\PACKING.FEED TUBE.GRAFOIL....DOUBLE SPLIT..TC1 &amp; 2 SOOTBLOWER</t>
  </si>
  <si>
    <t>TC2 Recycle Pump gearboxes are leaking oil from the high and low speed shaf</t>
  </si>
  <si>
    <t>HANDLE,FILE,MEDIUM,FITS 6"-10"FILES 36/PKG</t>
  </si>
  <si>
    <t>BLADE,HACKSAW,12",18 TEETH,STEEL 100/BOX NOTE:LENNOX 20116 - 218HE 12 BLADE ONLY DO NOT SUBSTITUTE</t>
  </si>
  <si>
    <t>WATER\DRINKING.16.9 OZ BOTTLES, 24 PER CASE</t>
  </si>
  <si>
    <t>HANDLE,FILE,LARGE,FITS 12"-16"FILES 36/PKG</t>
  </si>
  <si>
    <t>PAD,SCOTCH-BRITE,9"X6",GENERAL PURPOSE</t>
  </si>
  <si>
    <t>FILE,HALF-ROUND,BASTARD,6" 12/BOX</t>
  </si>
  <si>
    <t>BATTERY,ALKALINE,AAA, VARIOUS EQUIPMENT 12 PER PKG.</t>
  </si>
  <si>
    <t>COMPOUND KIT,PIPE JOINT,1/2 PINT CANS W/ BRUSH ORDER MULTIPLE-48</t>
  </si>
  <si>
    <t>VALVE,BALL,BR,1/2",FPT,600WOG 3B INSTR AIR COMP AIR DRYER T1000-DHA4- 6HD32000-246,PPPC SO#85-6H-J34</t>
  </si>
  <si>
    <t>FILE,MILL,BASTARD,10" 12/BOX</t>
  </si>
  <si>
    <t xml:space="preserve">RESPIRATOR,DUST,TOXIC,DISPOSABLE 1 BOX CONTAINS 20,ELASTIC BAND ELASTIC HEADBAND,BENDABLE NOSEPIECE </t>
  </si>
  <si>
    <t>FUNNEL,TIN 4"HOSE ONE GAL.CAP. M.C.LUBRI CATION CREW THROUGHOUT THE PLANT E.I.D.:M0GUETOL</t>
  </si>
  <si>
    <t>FILE,MILL,BASTARD,12" 12/BOX</t>
  </si>
  <si>
    <t>FUNNEL,DRUM,55 GAL,2 GAL. CAPACITY</t>
  </si>
  <si>
    <t>RESPIRATOR,HIGH EFFICIENCY,3M 8233, 20/CASE</t>
  </si>
  <si>
    <t>GLOVES\WORK.GRAIN PALM &amp; INDEX.MEDUIM.LEATHER/SPLIT BACK W/ELASTIC.</t>
  </si>
  <si>
    <t>DISC PACK,985,NO. 98,DISC PACK FOR BUR GRINDERS TC:</t>
  </si>
  <si>
    <t>RAG,LINTFREE,WHITE,50LB PER BOX</t>
  </si>
  <si>
    <t>TAP,HAND,TAPER,SIZE 1/2-13,HIGH SPEED, GROUND THREAD</t>
  </si>
  <si>
    <t>BOLT,EYE,3/8"X 1-1/4",4" LONG</t>
  </si>
  <si>
    <t>BIT,DRILL,HIGH SPEED,27/64",STRAIGHT SHANK,JOBBERS LGTH. 6/PKG.</t>
  </si>
  <si>
    <t>GAS,MAPP,1LB CYLINDER PORTABLE TORCHES</t>
  </si>
  <si>
    <t>ABSORBENT,ALL-PURPOSE,40LB BAG GROUND CLAY,(MILL CREEK 25# BAGS SILICIA FREE/GREEN ENV. MATERIAL)</t>
  </si>
  <si>
    <t>TAPE,BOLT HOLE,FIBERGLASS,SUR-GLASS, 1/4" THICK X 1" WIDE X 100' ** CHECK WITH SUR-SEAL TO SEE IF AN</t>
  </si>
  <si>
    <t>TORCH,PROPANE,SELF IGNITING</t>
  </si>
  <si>
    <t>UNITED GROUP SERVICES INC</t>
  </si>
  <si>
    <t>-TC2 Recycle Pump Gearbox Seal Replacement - six (6) total gearboxes (see two party contract)</t>
  </si>
  <si>
    <t>PROCESS PUMP AND SEAL INC</t>
  </si>
  <si>
    <t>-MATERIAL - 2A Recycle Pump Input Shaft Inpro seal</t>
  </si>
  <si>
    <t>-MATERIAL - 2A Recycle Pump Output Shaft Inpro Seal</t>
  </si>
  <si>
    <t>-MATERIAL - 2B-F Recycle Pump Input Shaft Inpro Seal</t>
  </si>
  <si>
    <t>-MATERIAL - 2B-F Recycle Pump Output Shaft Inpro Seal</t>
  </si>
  <si>
    <t>-Bush Seal (5742424)</t>
  </si>
  <si>
    <t>-Oil Seal 85015</t>
  </si>
  <si>
    <t>-Bush Seal (5742158)</t>
  </si>
  <si>
    <t>-Seal 8951 LUP</t>
  </si>
  <si>
    <t>Inspect the gearbox on the sootblower main steam supply valve MOV 500</t>
  </si>
  <si>
    <t>Condensate heater #4 extraction steam isolation valve 2-ES-MOV-415 is leaki</t>
  </si>
  <si>
    <t>TC2 condensate heater 4 channel side relief valve was blowing hot water fro</t>
  </si>
  <si>
    <t>TC2 Ashpit Refractory--Inspect refractory and make any needed repairs.</t>
  </si>
  <si>
    <t>-NE-Teflon .125" x 1.25" x .50"</t>
  </si>
  <si>
    <t>-GASKET - Provide 220ft of 1" wide x 1/8" thick gasket material PN: 1000149835</t>
  </si>
  <si>
    <t>AMERICAN ENERGY PRODUCTS INC</t>
  </si>
  <si>
    <t>-Provide 304 stainless flat dipper plate and 4x6 and carbon steel angle iron and hardware per proposal number 4759.</t>
  </si>
  <si>
    <t>WASHER\~, FOR POND FLOATS</t>
  </si>
  <si>
    <t>extend TC2 gypsum line to the west ~500'-700' in gypsum storage pond</t>
  </si>
  <si>
    <t>NUT\~, FOR POND FLOATS</t>
  </si>
  <si>
    <t>FLOAT\CHANNEL, C, 4", FOR POND FLOATS</t>
  </si>
  <si>
    <t>BOLT\U, 18", FOR POND FLOATS</t>
  </si>
  <si>
    <t>FLOAT\CHANNEL, C, 6",  FOR POND FLOATS</t>
  </si>
  <si>
    <t>BOLT\U, 12", FOR POND FLOATS</t>
  </si>
  <si>
    <t>MELVIN AND SONS BUSHOGGING</t>
  </si>
  <si>
    <t>ISCO INDUSTRIES LLC</t>
  </si>
  <si>
    <t>-BOLTPACK FOR 12" MFA + BUR (12) 7/8" X 8-1 /2" BOLT W/NUT WSH</t>
  </si>
  <si>
    <t>0A Flyash convey air compressor overheated and needs to be inspected.</t>
  </si>
  <si>
    <t xml:space="preserve">TUBING,STAINLESS STEEL,3/8"OD,049 WALL, SMLS,GR-T-316,20'0"LGTHS USED AT VARIOUS LOCATIONS ***ORDER </t>
  </si>
  <si>
    <t xml:space="preserve">Bechtel to modify existing Ammonia piping at the storage tank pump skid to </t>
  </si>
  <si>
    <t>-CONNECTOR,MALE - 4-2 FBZ-SS Male Connector - 1/4 IN tube OD x 1/8 IN MNPT</t>
  </si>
  <si>
    <t>-TUBING,SS - 1/2" SS Tubing</t>
  </si>
  <si>
    <t>-FREIGHT ON PO 903913 INV# 3544716001</t>
  </si>
  <si>
    <t>FREIGHT ON PO 903913</t>
  </si>
  <si>
    <t>All the TC2 coal feeder motor gearboxes are leaking oil</t>
  </si>
  <si>
    <t>Unit 2 Bleed pump minimum recirc valve (2-QSD-CV-415) is leaking slurry.</t>
  </si>
  <si>
    <t>SAW,HOLE,1-3/4"DIA NO SUBSTITUTE PLEASE</t>
  </si>
  <si>
    <t>SAW,HOLE,1-3/8"DIA NO SUBSTITUTE PLEASE</t>
  </si>
  <si>
    <t>DRILL,PILOT,1/4",5/16"HEX FOR HOLE SAW ARBOR</t>
  </si>
  <si>
    <t>OIL, CHEVRON DELO 400 SAE 30, ( ORDER IN QUARTS ) 12 PER CASE</t>
  </si>
  <si>
    <t>FLUID,TRANS,ATF UNIVERSAL MC-UNIT 4 COOLING TOWER PHILADELPHIA SIZE &amp; TYPE 3511 UBHCT,HP-150,INPUT R</t>
  </si>
  <si>
    <t>ROPE,3/8"X 600'/BOX</t>
  </si>
  <si>
    <t>ABSORBENT\BOOM.PETROLEUM PRODUCTS.3" X 8'</t>
  </si>
  <si>
    <t>HARNESS\BODY.XLARGE.EXOFIT XP</t>
  </si>
  <si>
    <t>Replace the 2A Electromatic manual isolation valve gearbox.</t>
  </si>
  <si>
    <t>Purchase and install TC2 inspection doors during the TC2 spring outage.</t>
  </si>
  <si>
    <t>ALSTOM POWER INC</t>
  </si>
  <si>
    <t>-MEMBRANE,TUBING - Provide 1/4" x 1/2"wide grade 12 membrane.  150' per quote 20038637</t>
  </si>
  <si>
    <t>BOILER TUBE CO OF AMERICA</t>
  </si>
  <si>
    <t>-Provide 16 Observation doors (OD-4x10.2-1C) for TC2 boiler per proposal #87720A</t>
  </si>
  <si>
    <t>-Freight for PO# 900379</t>
  </si>
  <si>
    <t>-Freight for PO 895645</t>
  </si>
  <si>
    <t>Submerged Scraper Conveyer inspection and Mat'l Analysis</t>
  </si>
  <si>
    <t>GLOVE,SURGICAL,X-LARGE FOR MIXING FIBERGLASS DISPOSABLE 100/BOX</t>
  </si>
  <si>
    <t>INSULATE The 2A, 2B, and 2C CT pump motors need to have an Isol valve</t>
  </si>
  <si>
    <t>HINGE,BUTT,HEAVY,4"</t>
  </si>
  <si>
    <t>CLEANER, CITRUS FOAM...MULTI-PURPOSE FOAMING AEROSOL CAN..PRODUCT #0037 309F</t>
  </si>
  <si>
    <t>VALVE\BALL..1"....600 PSI WOG..APOLLO 7010501</t>
  </si>
  <si>
    <t>VALVE\GATE, 1", 1500#</t>
  </si>
  <si>
    <t>ROD\WELDING..3/32"..CAN/50 LB.E7018 MR CODE ARC SFA 5.1 14"</t>
  </si>
  <si>
    <t>Clean all Suction strainers on the TC2 BFP's .</t>
  </si>
  <si>
    <t>GLOVE\MECHANIC, BLUE, LARGE</t>
  </si>
  <si>
    <t>-Flexitallic Gasket 3/4" 150#</t>
  </si>
  <si>
    <t>-Flexitallic Gasket 3/4" 600#</t>
  </si>
  <si>
    <t>-Graphonic Gasket 3/4" 150</t>
  </si>
  <si>
    <t>-Graphonic Gasket 3" 150</t>
  </si>
  <si>
    <t>-Sheet Gasket Material AP 330 Orange</t>
  </si>
  <si>
    <t>-Welding Blanket 36" Silca</t>
  </si>
  <si>
    <t>-Welding Blanket 40" Fiberglass</t>
  </si>
  <si>
    <t>-Bulk Packing 7/16</t>
  </si>
  <si>
    <t>-Flexitallic Gasket 30" 150#</t>
  </si>
  <si>
    <t xml:space="preserve">Pull and inspect the 2B TDBFP recirc valve. 2-BFD-CV-054B valve is leaking </t>
  </si>
  <si>
    <t>GASKET.BODY/CAGE.2-BFD-CV-057</t>
  </si>
  <si>
    <t>BIT,DRILL,HIGH SPEED,SIZE G,STRAIGHT SHANK,JOBBERS LGTH. VARIOUS LGTH.</t>
  </si>
  <si>
    <t>Pull and nspect TC2 O2 probes.</t>
  </si>
  <si>
    <t>GLOVE\MECHANIC, WHITE, SMALL</t>
  </si>
  <si>
    <t>DIFFUSER.FLOW.....CERAMIC,DUST SEAL</t>
  </si>
  <si>
    <t>CARTRIDGE, ORGANIC,VAPOR, ACID GASES,(PART NBR. MMM6003)</t>
  </si>
  <si>
    <t>COVERALL\BIB.CHEMICAL.GREEN,PLAIN FRONT.LARGE</t>
  </si>
  <si>
    <t>COVERALL\BIB.CHEMICAL.GREEN.X-LARGE</t>
  </si>
  <si>
    <t>GAUGE\PRESS.0-100 PSI.1/4" NPT BOTTOM.2-1/2" FACE.SS..GLYCERIN FILLED..</t>
  </si>
  <si>
    <t>-ASSEMBLY,BONNET - 3/4 Manual Bonnet Assembly</t>
  </si>
  <si>
    <t>-DIAPHRAGM - 3/4 Viton Diaphragm</t>
  </si>
  <si>
    <t>-ASSEMBLY,BONNET - 1/2 Manual Bonnet Assembly</t>
  </si>
  <si>
    <t>-DIAPHRAGM - 1-1/2 Viton Diaphragm</t>
  </si>
  <si>
    <t>-ASSEMBLY,BONNET - 1-1/2 Manual Bonnet Asssembly</t>
  </si>
  <si>
    <t>-DIAPHRAM - 1/2 Viton Diaphragm</t>
  </si>
  <si>
    <t>Inspect 2-FC-CV-030C</t>
  </si>
  <si>
    <t>Inspect 2-FC-CV-030D</t>
  </si>
  <si>
    <t>BOLT,EYE,5/16 X 1-1/8",HI CARBON STEEL,25/BOX</t>
  </si>
  <si>
    <t>DISPLACER,MOISTURE,ELECTRA-SEAL PLUS</t>
  </si>
  <si>
    <t>I/E support for burner replacement project.</t>
  </si>
  <si>
    <t>GASKET,EXTENSION,2-3/8"OD X 1-15/16" ID X 1/16" THICK,METAL,</t>
  </si>
  <si>
    <t>FUSE\ONE-TIME..250MA..5 X 20MM X 5.2MM DIA.GLASS CARTRIDGE.</t>
  </si>
  <si>
    <t>MODULE.COMMUNICATIONS.NET-CONCENTRATOR</t>
  </si>
  <si>
    <t>EPOXY,5-MINUTE,2-1 DISPENSER, 24ml</t>
  </si>
  <si>
    <t>PLUG.AIR.QUICK DISCONNECT.HOSE</t>
  </si>
  <si>
    <t>SOCKET.AIR.QUICK DISCONNECT</t>
  </si>
  <si>
    <t>SOCKET.OIL.QUICK DISCONNECT.HOSE</t>
  </si>
  <si>
    <t>GAUGE,PRESSURE,0-200 PSI,1/4" BOTTOM,2-1/2" DIAL,SS,FILLED</t>
  </si>
  <si>
    <t>GASKET\PROBE.GRAPHOIL..1.25" X 0.800"..10 PER PACK,CT CEM SAMPLE PROBE</t>
  </si>
  <si>
    <t>PLUG.OIL.QUICK DISCONNECT</t>
  </si>
  <si>
    <t>TRANSMITTER.OXYGEN.IN-SITU.OXT4A</t>
  </si>
  <si>
    <t>BATTERY\ALKALINE.AA.INDUSTRIAL.</t>
  </si>
  <si>
    <t>ASSEMBLY.CABLE.IDD-11.1'2" FLEX.J BOX/6 POS TERM STRIP</t>
  </si>
  <si>
    <t>GLOVE\MECHANIC, BROWN, EXTRA LARGE</t>
  </si>
  <si>
    <t xml:space="preserve">CORD,SO,16/3,300V,SJOW-A,N.E.C. STANDARD BLACK,CSA LL56723,90 DEG.C,250'/REEL FOR SM. MTRS. &amp; TOOLS </t>
  </si>
  <si>
    <t>-Vacuum bottom of TC2 boiler at Trimble (Inv# 53666)</t>
  </si>
  <si>
    <t>-Vacuum sand from Unit#2 boiler at Trimble (Inv# 53096)</t>
  </si>
  <si>
    <t>FORNEY CORP</t>
  </si>
  <si>
    <t>-DETECTOR.IDD II.COAL SCANNER, P/N 38321-22</t>
  </si>
  <si>
    <t>-DETECTOR.IDD IIU.UNFILTERED.OIL SCANNER, P/N 38321-21</t>
  </si>
  <si>
    <t>PLUG.COMPLETE.KLASS BT.VFA-56BT/SCV320-100.2-AT-CV-110A/B.2-AT-CV-120A/B</t>
  </si>
  <si>
    <t>PM-ANNUAL-OUTAGE- STAGE 1 "A" SH Spray Water Control Valve 2-AT CV-110A. Ch</t>
  </si>
  <si>
    <t>SHOVEL,DIRT,SQUARE POINT,LONG HANDLE</t>
  </si>
  <si>
    <t>-2-AT-CV-110A, CUT NEW SEATS ON INNER AND OUTER SEAT, POLISH STEM AND INNER AND OUTER PLUGS. LAP PLUGS INTO SEATING AREAS, NEW RETAINING RING.</t>
  </si>
  <si>
    <t>-2-AT-CV-120A, CUT NEW SEATS ON INNER AND OUTER SEAT, POLISH STEM AND INNER AND OUTER PLUGS. LAP PLUGS INTO SEATING AREAS NEW RETAINING RINGS.</t>
  </si>
  <si>
    <t>-2-AT-CV-120B, CUT NEW SEATS ON INNER AND OUTER SEAT, POLISH STEM AND INNER AND OUTER PLUGS. LAP PLUGS INTO SEATING AREAS NEW RETAINING RINGS.</t>
  </si>
  <si>
    <t>-2-AT-CV-110B, NEW PLUG + STEM ASSY, 431 S/S HDN; NEW LOCKING HUB, NEW OUTER PLUG AND STEM, NEW RETAINING RING.</t>
  </si>
  <si>
    <t>PM-ANNUAL-OUTAGE- STAGE 1 "B" SH Spray Water Control Valve 2-AT CV-110B. Ch</t>
  </si>
  <si>
    <t>LUBRICANT\ANTI-SEIZE.2400 DEGREES.NICKEL BASED.16 OZ,BRUSH TOP.</t>
  </si>
  <si>
    <t>SEAL.PRESSURE.VFA-56BT/SCV320-100.2-AT-CV-110A/B.2-AT-CV-120A/B</t>
  </si>
  <si>
    <t>PM-ANNUAL-OUTAGE- STAGE 2 "A" SH Spray Water Control Valve 2-AT CV-120A. Ch</t>
  </si>
  <si>
    <t>SET\PACKING.SOOTBLOWER SOLID RING.GRAFOIL......</t>
  </si>
  <si>
    <t>GASKET.FLEXITALLIC.100DSV-1.5"/MSDII500RA.2-AT-CV-130A/B</t>
  </si>
  <si>
    <t>HOSE,PUSH LOK,3/8" ,GRAY,W.P. 250 PSI,1-1Q91,PARKER MC:INSTR SENSING LIGHTS CR:INSTR SENSING LIGHTS,</t>
  </si>
  <si>
    <t>-LABOR - UNIT 2 TRIMBLE COUNTY LABOR FOR I/E TECHS ON VALVE REPAIRS</t>
  </si>
  <si>
    <t>PM-ANNUAL-OUTAGE- STAGE 2 "B" SH Spray Water Control Valve 2-AT CV-120B. Ch</t>
  </si>
  <si>
    <t xml:space="preserve">PM-ANNUAL-OUTAGE- "A" Reheat Spray Water Control Valve 2-AT CV-130A. Check </t>
  </si>
  <si>
    <t>SEAL.BALANCE.100DSV-1.5"/MSDII500RA.2-AT-CV-130A/B</t>
  </si>
  <si>
    <t>SET.PACKING.100DSV-1.5"/MSDII500RA.2-AT-CV-130A/B</t>
  </si>
  <si>
    <t>RING.SEAT.100DSV-1.5"/MSDII500RA.2-AT-CV-130A/B</t>
  </si>
  <si>
    <t>SPINDLE.100DSV-1.5"/MSDII500RA.2-AT-CV-130A/B</t>
  </si>
  <si>
    <t>STACK.DISC.100DSV-1.5"/MSDII500RA.2-AT-CV-130A/B</t>
  </si>
  <si>
    <t>-LABOR - 2-AT-CV-130A , LABOR TO INSPECT AND CLEAN CCI STACKED DISK DIP, DE-DEBRIS, AND INSPECT AS NEEDED</t>
  </si>
  <si>
    <t>STACK.DISC.100DSV-1.5",SER #295470.50A/MSDII500RA.2-AT-CV-130A/B</t>
  </si>
  <si>
    <t xml:space="preserve">PM-ANNUAL-OUTAGE- "B" Reheat Spray Water Control Valve 2-AT CV-130B. Check </t>
  </si>
  <si>
    <t>SPINDLE.100DSV-1.5",SER #295470.50A/MSDII500RA.2-AT-CV-130A/B</t>
  </si>
  <si>
    <t>RING.SEAT.100DSV-1.5",SER #295470.50A/MSDII500RA.2-AT-CV-130A/B</t>
  </si>
  <si>
    <t>BUSHING.GUIDE.3" X 3" 100DVS.SER #295470.50A,MAIN STEAM.SPRAYWATER CONTROL.2-MS-CV-048A</t>
  </si>
  <si>
    <t>SET.PACKING.100DSV-1.5",SER #295470.50A/MSDII500RA.2-AT-CV-130A/B</t>
  </si>
  <si>
    <t>SEAL.BALANCE.100DSV-1.5",SER #295470.50A/MSDII500RA.2-AT-CV-130A/B</t>
  </si>
  <si>
    <t>GASKET.FLEXITALLIC.100DSV-1.5",SER #295470.50A/MSDII500RA.2-AT-CV-130A/B</t>
  </si>
  <si>
    <t>-LABOR - Plug/Stem, Skim Cut Plug and Seat, Polish, Lap to Seat Ring; Polish Stem</t>
  </si>
  <si>
    <t>-LABOR - Seat Ring, Bead Blast Seat Ring, Polish, and Recut Seat Face; Lap to Plug Seat</t>
  </si>
  <si>
    <t>-MATERIAL - Guide Bushing, New Guide Bushing, Old bushing has too Deep of Scratches, 316 S/S</t>
  </si>
  <si>
    <t>PM-ANNUAL-OUTAGE- Boiler instrumentation loop checks.</t>
  </si>
  <si>
    <t>PM-ANNUAL-OUTAGE- TC2 "B"  FD Fan motor bearings- change oil, clean and ins</t>
  </si>
  <si>
    <t>FITTING,CHICAGO,MALE,3/4"</t>
  </si>
  <si>
    <t>PM-ANNUAL - + - TC2 "A" Condensate Hotwell Pump motor clean, inspect + bear</t>
  </si>
  <si>
    <t>PRECIPITATOR SERVICES GROUP INC</t>
  </si>
  <si>
    <t>-Inspect and repair TC2 WESP inlet perforated plates. (Inv# 7063)</t>
  </si>
  <si>
    <t>PM-ANNUAL-OUTAGE PM - WESP OUTAGE MAINTENANCE INSPECTIONS.</t>
  </si>
  <si>
    <t>-Repair of TC2 wet ESP (Inv# 7047)</t>
  </si>
  <si>
    <t>PARTICULATE CONTROL TECHNOLOGIES INC</t>
  </si>
  <si>
    <t>-CONSULTING/ENGINEERING SERVICES:  INVESTIGATE INTERMITTANT AEROSOL (FOG) INSIDE TC2 WET ESP IN ACCORDANCE WITH PCT'S PROPOSAL OF 03/03/14 AND THE FOLLOWING NOTES.  EST. T &amp; M NTE $14,750 (100 HRS).</t>
  </si>
  <si>
    <t>-Repair of TC2 wet ESP (Inv# 7048)</t>
  </si>
  <si>
    <t>-2" X 1.5" CONCENTRIC REDUCER</t>
  </si>
  <si>
    <t>-2" ENDCAP</t>
  </si>
  <si>
    <t>-90 DEGREE 1" THREADED ELBOW</t>
  </si>
  <si>
    <t>-90 DEGREE 3" BW ELBOW</t>
  </si>
  <si>
    <t>-3" X 1.5" SOCKOLET</t>
  </si>
  <si>
    <t>-6" X 2" ELBOWOLET</t>
  </si>
  <si>
    <t>-3" SCHEDULE 40 304 STAINLESS STEEL WELDED</t>
  </si>
  <si>
    <t>LAPP INSULATORS LLC</t>
  </si>
  <si>
    <t>-INSULATOR - Catalog number 315205-70</t>
  </si>
  <si>
    <t>-1.5" SCHEDULE 40 304 STAINLESS STEEL WELDED</t>
  </si>
  <si>
    <t>-6" X 3" WELDOLET</t>
  </si>
  <si>
    <t>-2" SCHEDULE 40 304 STAINLESS STEEL WELDED</t>
  </si>
  <si>
    <t>TRU STEEL METALS LLC\901577</t>
  </si>
  <si>
    <t>MACOMB GROUP\900902</t>
  </si>
  <si>
    <t>-8" X 1" SOCKOLET</t>
  </si>
  <si>
    <t>-6" PIPE CAP</t>
  </si>
  <si>
    <t>-6" X 3" CONCENTRIC REDUCER</t>
  </si>
  <si>
    <t>-90 DEGREE 1.5" SW ELBOW</t>
  </si>
  <si>
    <t>-1.5" X 1.5" SW TEE</t>
  </si>
  <si>
    <t>-90 DEGREE 2" SW ELBOW</t>
  </si>
  <si>
    <t>-6" X 2" SOCKOLET</t>
  </si>
  <si>
    <t>-8" X 6" CONCENTRIC REDUCER</t>
  </si>
  <si>
    <t>TRU STEEL METALS LLC</t>
  </si>
  <si>
    <t>-GASKET - 6" DIAM.150# FLEXATTALIC</t>
  </si>
  <si>
    <t>-6" X 2" WELDOLET</t>
  </si>
  <si>
    <t>-2" X 2" SW TEE</t>
  </si>
  <si>
    <t>-6" SCHEDULE 40 304 STAINLESS STEEL WELDED</t>
  </si>
  <si>
    <t>-1.5" X 1" THREADOLET</t>
  </si>
  <si>
    <t>-45 DEGREE 6" BW ELBOW</t>
  </si>
  <si>
    <t>-6" X 6" BW TEE</t>
  </si>
  <si>
    <t>-90 DEGREE 8" BW ELBOW</t>
  </si>
  <si>
    <t>-8" X 8" BW TEE</t>
  </si>
  <si>
    <t>-90 DEGREE 6" BW ELBOW</t>
  </si>
  <si>
    <t>-FLANGE - 6" DIAM.150# SO FLANGE</t>
  </si>
  <si>
    <t>-PIPE - 6" DIAM. x SCH 40 WALL x 10FT L. SEAMLESS</t>
  </si>
  <si>
    <t>BETE FOG NOZZLE INC</t>
  </si>
  <si>
    <t>-NOZZLE - 3/8 WL-2 60 TEFLON</t>
  </si>
  <si>
    <t>-8" SCHEDULE 40 304 STAINLESS STEEL WELDED</t>
  </si>
  <si>
    <t>-VALVE - 6" 150# FLANGED FULL PORT (FP) FIRE SAFE VALVE</t>
  </si>
  <si>
    <t>-EDP# 63851; 3/8WL-2 60 Teflon</t>
  </si>
  <si>
    <t>-1" 150# WNFF ASME B16.5</t>
  </si>
  <si>
    <t>-2" 150# WNFF ASME B16.5</t>
  </si>
  <si>
    <t>-3" 150# WNFF ASME B16.5</t>
  </si>
  <si>
    <t>-6" 150# WNFF ASME B16.5</t>
  </si>
  <si>
    <t>-1.5" 150# WNFF ASME B16.5</t>
  </si>
  <si>
    <t>-8" 150# WNFF ASME B16.5 FLANGE</t>
  </si>
  <si>
    <t>-Freight for PO#900902</t>
  </si>
  <si>
    <t>PM-ANNUAL-OUTAGE- DESP OUTAGE MAINTENANCE.</t>
  </si>
  <si>
    <t>PIN,CHICAGO FITTING HITCH FOR STOCK,SAFETY CLIP</t>
  </si>
  <si>
    <t>FILTER,DUST &amp; VAPOR,HIGH EFFIENCY,PARTICULATE,FOR HALF AND FULL FACE RESPIRATORS,USED AT VARIOUS LOC</t>
  </si>
  <si>
    <t>COVERALLS,DISPOSABLE,BLUE,W/HOOD,EXTRA LARGE,USED ON TC PRECIP. INSPECTIONS</t>
  </si>
  <si>
    <t>RESPIRATOR,FULL FACE,MEDIUM,6000 SERIES,USED FOR EMPLOYEE RESPIRATORY PROTECTION</t>
  </si>
  <si>
    <t>-General maintenance and repairs on TC2 dry ESP. (Inv# 6997)</t>
  </si>
  <si>
    <t>TECHNICAL ENVIRONMENTAL SOLUTIONS LLC</t>
  </si>
  <si>
    <t>PM-ANNUAL-OUTAGE- TC2 "A"  ID Fan motor bearings- change oil, clean and ins</t>
  </si>
  <si>
    <t>-2 Technicians for Weg motor bearing inspections. 2A ID,FD + PA Fans</t>
  </si>
  <si>
    <t>BUSHING\INSULATING.RTD</t>
  </si>
  <si>
    <t>PM-ANNUAL-OUTAGE- TC2 "B"  ID Fan motor bearings- change oil, clean and ins</t>
  </si>
  <si>
    <t>-ADAPTER - RTD ADAPTER 1/2 X 1/2</t>
  </si>
  <si>
    <t>PM-ANNUAL OUTAGE - + - TC2- STATOR CONDUTCIVITY perform checks per OEM.</t>
  </si>
  <si>
    <t>PM-ANNUAL- OUTAGE- Generator maintenace for outages.</t>
  </si>
  <si>
    <t>-PLATE,COPPER - Copper Plates per your Drawing. Dimensions  4 x 8 x 0.6 Thick.</t>
  </si>
  <si>
    <t>ADAPTOR\HOSE:STRAIGHT:1/2"BARBED TO 1/2" TUBE:FREE BIN CAB</t>
  </si>
  <si>
    <t>PM-ANNUAL-OUTAGE- Emergency Seal oil pump motor-Check brushes and wipe clea</t>
  </si>
  <si>
    <t>GUN,HEAVY DUTY LEVER FOR LUBRICATION ROOM THROUGHOUT PLANT</t>
  </si>
  <si>
    <t>-Maintenance services at Trimble (Inv# AME32839)</t>
  </si>
  <si>
    <t>-MOTOR - General Electric DC Motor 20 HP, 1800 RPM, CD327AT Frame, 250/225 Volt, 66/1.28 Amp, 5CD183WA901B800, TEFC</t>
  </si>
  <si>
    <t>PM-ANNUAL - + - TC2 "A" Coal mill motor clean, inspect + bearings oil chang</t>
  </si>
  <si>
    <t>HANDLE,FLOOR BRUSH,5' LONG,W/METAL SCREW TIP</t>
  </si>
  <si>
    <t>LUBRICANT,ANTI SEIZE,11 OUNCE CAN FREE BIN ITEM - CR,MC</t>
  </si>
  <si>
    <t>BRUSH,FLOOR,24"</t>
  </si>
  <si>
    <t>SEALANT,RTV,BLUE,8 OUNCE AEROSOL TUBE</t>
  </si>
  <si>
    <t>PM-ANNUAL - + - TC2 "B" Coal mill motor clean, inspect + bearings oil chang</t>
  </si>
  <si>
    <t>SCRAPER,WALL,3",STIFF 12/BOX</t>
  </si>
  <si>
    <t>PM-ANNUAL - + - TC2 "C" Coal mill motor clean, inspect + bearings oil chang</t>
  </si>
  <si>
    <t>BOX,OUTLET,COMB,SQ,4",1-1/2"DEEP,1/2" &amp; 3/4"KO FREE BIN ITEM - TC,MC</t>
  </si>
  <si>
    <t>PM-ANNUAL - + - TC2 "D" Coal mill motor clean, inspect + bearings oil chang</t>
  </si>
  <si>
    <t>COVER,RECPT,TWO DUPLEX,RAISED,4",GALV STL 25/CARTON</t>
  </si>
  <si>
    <t>CINCINNATI BABBITT INC</t>
  </si>
  <si>
    <t>-4.921X4-3/8 RENK Bearing- Repair Rebabbitt and Finish Machine ID</t>
  </si>
  <si>
    <t>-4.921X4-3/8 RENK Thrust Bearing- Repair Rebabbitt and Finish Machine ID  for  2D Coal Mill Motor</t>
  </si>
  <si>
    <t>PM-ANNUAL - + - TC2 "E" Coal mill motor clean, inspect + bearings oil chang</t>
  </si>
  <si>
    <t>BRUSH,PAINT,WALL,4",NATURAL BRISTLE ( 12 PER CASE )</t>
  </si>
  <si>
    <t>PM-ANNUAL - + - TC2 "F" Coal mill motor clean, inspect + bearings oil chang</t>
  </si>
  <si>
    <t>-HOLDER,SPRING - FG110 - 1 Minco Spring Holder</t>
  </si>
  <si>
    <t>-BEARING - 2D59008H19, DE/NDE bearing RTD</t>
  </si>
  <si>
    <t>SENSOR.NH3 HC</t>
  </si>
  <si>
    <t>PM- SEMI-ANNUAL - + - 2 SCR AMMONIA DETECTOR CALIBRATION</t>
  </si>
  <si>
    <t>CAN,SAFETY,5 GALLON,STEEL SINGLE SPOUT,SAFETY TOP,DESIGNED FOR CARRYING FLAMMABLE LIQUIDS,JUSTRITE B</t>
  </si>
  <si>
    <t>RESPIRATOR,FULL FACE,LARGE,6000 SERIES,USED FOR EMPLOYEE RESPIRATORY PROTECTION</t>
  </si>
  <si>
    <t>Change oil in the 2A + 2B Oxidation Air Compressor motors. GST 32</t>
  </si>
  <si>
    <t>SEAT.40.VLR-40RRT.2-SB-CV-050</t>
  </si>
  <si>
    <t>Inspect the TC2 Sootblower control valve. 2-SB-CV-050</t>
  </si>
  <si>
    <t>FILE,TAPER,EXTRA SLIM,5" 12/BOX</t>
  </si>
  <si>
    <t>FILE,ROUND,BASTARD,6" 12/BOX</t>
  </si>
  <si>
    <t>SEAL\PRESSURE...GRAPHOIL,2-BL-SBL-050</t>
  </si>
  <si>
    <t>PLUG.COMPLETE,.KLASS 5RR.VLR-40RRT.2-SB-CV-050</t>
  </si>
  <si>
    <t>-2-SB-CV-050, LABOR, MATERIALS, PWHT SERVICES TO MAKE REPAIRES TO 2-SB-CV-050 SOOTBLOWER CONTROL VALVE. INCLUDES NEW SEAT RING, SUPERHEAT PWHT FOR BOTH TIMES JOB WAS DONE.</t>
  </si>
  <si>
    <t>2A Instr. Air Dryer- Rebuild acutators and check desicant level.</t>
  </si>
  <si>
    <t xml:space="preserve">ACTUATOR,MATRIX,MODEL MX60,MAX PRESS 120 PSI VANE TYPE DOUBLE ACTING MC-UNIT 1&amp;2 HSWP AND 1&amp;2 LSSWP </t>
  </si>
  <si>
    <t>2B Instr. Air Dryer- Rebuild acutators and check desicant level.</t>
  </si>
  <si>
    <t>FUNNEL,TIN,PLEWS P/N 75-007,(10/CARTON)</t>
  </si>
  <si>
    <t>REPAIR KIT,BUNA,FOR MATRIX MODEL MX60 ACTUATOR, TC: PULVARIZER SEAL AIR QUOTES 1-2-92</t>
  </si>
  <si>
    <t>MUFFLER.2" MNPT.MODEL T-500.SERIAL NO 51351</t>
  </si>
  <si>
    <t>2-TDR-CV-019A + B main steam line drain valve is leaking, needs repaired</t>
  </si>
  <si>
    <t>Change oil in the 2B Cooling Tower pump motor GST 68. Also inspect the exci</t>
  </si>
  <si>
    <t>COUPLER,QUICK DISCONNECT,1/4",FEMALE</t>
  </si>
  <si>
    <t>VALVE,BALL,1/4",600 PSI,BRONZE,WATTS FOR ALL UNITS FREE BIN ITEM - TC PARKER</t>
  </si>
  <si>
    <t>TC2 BCP - Thrust Inspection - Mech Assist needed</t>
  </si>
  <si>
    <t>PAINT,"ORANGE",FLUORESCENT,AEROSOL CAN, SOLVENT BASE,UPSIDE DOWN MARKING</t>
  </si>
  <si>
    <t>-BEAM - 05100199 4" WF BEAM 4.160 X 4.060 X .280 - 4 FOOT LENGTH</t>
  </si>
  <si>
    <t>AIR HYDRO POWER INC</t>
  </si>
  <si>
    <t>-ASSEMBLY,HOSE - 2440D x 48" Long Hose Assembly</t>
  </si>
  <si>
    <t>KIT\HEAT TRACE.END CONNECTION..110/240 VAC P/N DP-PETK-1D.</t>
  </si>
  <si>
    <t xml:space="preserve">TC2 cooling tower pump heat trace panel 2CTEHB1 ckt #6 fault alarm is in.  </t>
  </si>
  <si>
    <t>Check TC2 cooling tower for fill damage west side, just south of stairwell.</t>
  </si>
  <si>
    <t>KIT\REPAIR:PIPE:2" X 6' TAPE:LOCTITE:</t>
  </si>
  <si>
    <t>KIT,PIPE REPAIR,(4" X 12') TAPE</t>
  </si>
  <si>
    <t>COUPLER,MALE,QUICK DISCONNECT,1/8"</t>
  </si>
  <si>
    <t>ECONOMIZER HOPPER 231 NEEDS TO HAVE THE INSPECTION PORT TURN TO THE EAST FA</t>
  </si>
  <si>
    <t>FITTING,HOSE,END,CHICAGO,1/2"</t>
  </si>
  <si>
    <t>ECONOMIZER HOPPER 232 NEEDS TO HAVE INSPECTION PORT TURN TO EAST FACEING NO</t>
  </si>
  <si>
    <t>-Vacuum acid and caustic basins for the Lab at Trimble (Inv# 51858)</t>
  </si>
  <si>
    <t>Repairs to TC2 Polisher Chemical Skids</t>
  </si>
  <si>
    <t>-Vacuum lab clarifier at Trimble (Inv# 51574)</t>
  </si>
  <si>
    <t>-Power wash and vacuum TC2 lab at Trimble (Inv# 52279)</t>
  </si>
  <si>
    <t>-Waterblast Unit 2 caustic and acid drains at Trimble (Inv# 53499)</t>
  </si>
  <si>
    <t>TC2 DA NDE Inspection and Needed Repairs</t>
  </si>
  <si>
    <t>-LABOR/MATERIAL - Three person crew (RT crew + hole watch) to X-ray DA heater head circumferential weld, 8.5' diameter, CS, SA-516-70, ~5/8" thick</t>
  </si>
  <si>
    <t>SUPERHEAT FGH SERVICES INC</t>
  </si>
  <si>
    <t>TESTEX INC</t>
  </si>
  <si>
    <t>TC2 Condenser EC Inspection</t>
  </si>
  <si>
    <t>Pretest safety valves and repair valves as needed during outage.</t>
  </si>
  <si>
    <t>TRANSDUCER.FLOW.SAMPLE.CO2 ANALYZER TEC410I.2-CEM-AT-010</t>
  </si>
  <si>
    <t>TC2 SCR B CO analyzer has high flow alarm in. TS+R</t>
  </si>
  <si>
    <t>ASSEMBLY.KICKER.SO2 ANALYZER TEC43I.2-CEM-AT-033</t>
  </si>
  <si>
    <t>CAPILLARY,PRESSURE,REDUCING,13 ML CEMS SO2 ANALYZER</t>
  </si>
  <si>
    <t>TC2 SCR B SO2 analyzer has high flow alarm in. TS+R</t>
  </si>
  <si>
    <t>TC2 SCR A NOX inlet analyzer has high pressure alarm in. TS+R</t>
  </si>
  <si>
    <t>Install Condensate Polisher outlet valve to allow for routing of TC1 peggin</t>
  </si>
  <si>
    <t>-Maintenance support labor at Trimble (Inv# AME33179) 4/1/14 - 4/30/14</t>
  </si>
  <si>
    <t>PLEASE PAINT Add back-up line for the Recycle pump mechanical seal water li</t>
  </si>
  <si>
    <t>Surge test medium voltage motors on TC2.</t>
  </si>
  <si>
    <t>KIT.TEST.ENETELLIGUARD</t>
  </si>
  <si>
    <t>TIE,CABLE,LOCKING,T &amp; B,TY525M</t>
  </si>
  <si>
    <t>Install HP 6A Feedwater HTR Diaphragm per 2014 procedure.</t>
  </si>
  <si>
    <t>AIR HYDRO POWER INC\899166</t>
  </si>
  <si>
    <t>Replace the hoses on the S.S.C. planetary gear reducer.</t>
  </si>
  <si>
    <t>Add safety guide to the top of the bunker rail to prevent rollers from roll</t>
  </si>
  <si>
    <t>PLATE,METAL,ROUND,GASKET,FEEDWATER HEATER</t>
  </si>
  <si>
    <t>Install HP 6B Feedwater HTR Diaphragm per 2014 procedure.</t>
  </si>
  <si>
    <t>-LABOR - Machine 4 Diaphragm Heads</t>
  </si>
  <si>
    <t>-EASTERN INDUSTRIAL AUTOMA #266027</t>
  </si>
  <si>
    <t>Install HP 8A Feedwater HTR Diaphragm per 2014 procedure.</t>
  </si>
  <si>
    <t>SCEPTRE MECHANICAL INC\900875</t>
  </si>
  <si>
    <t>Install HP 8B Feedwater HTR Diaphragm per 2014 procedure.</t>
  </si>
  <si>
    <t>-TENSIONER - High Temp, 2.50-8 Thread, Tensioner with Hardened Washers</t>
  </si>
  <si>
    <t>RECEPTACLE,MINI-CHANGE,7P MALE,12" LENGTH,#16 PVC LEADS,FOR TRIMBLE COUNTY 02 SYSTEM</t>
  </si>
  <si>
    <t>Inspect yellow cables on all of the K-Tecs on heaters</t>
  </si>
  <si>
    <t>-THERMOSLEEVE - TSS-22    1-3/8" Thermosleeve-S</t>
  </si>
  <si>
    <t>-227020A01F030, 3 FOOT, 7P, STRAIGHT / STRAIGHT</t>
  </si>
  <si>
    <t>- 3 conductor, male/female, 16 AWG, 6 foot length, Brad Harrison Cable</t>
  </si>
  <si>
    <t>THE 2F COAL MILL BUNKER VALVE GEAR BOX IS BROKE</t>
  </si>
  <si>
    <t>-19200/242971TP/1</t>
  </si>
  <si>
    <t>TOWNLEY ENGINEERING AND MFG CO INC</t>
  </si>
  <si>
    <t>-14' Townley Knife Gate Valve (V8TTPNG14)</t>
  </si>
  <si>
    <t>-LABOR - Replace TC2 2A AH inboard radial seals</t>
  </si>
  <si>
    <t>TC2 Air Heater inspections and repairs.</t>
  </si>
  <si>
    <t>ALSTOM POWER AIR PREHEATER\901054</t>
  </si>
  <si>
    <t>ALSTOM POWER AIR PREHEATER</t>
  </si>
  <si>
    <t>-Provide 36 Holding Strips-Inner Item No. 3 part number Y10090945 on quote 14FS-0361-4435</t>
  </si>
  <si>
    <t>-Provide 36 Holding Strips-Intermediate Item No. 4 part number Y10090946 on quote 14FS-0361-4435</t>
  </si>
  <si>
    <t>-Provide 36 Radial Seal Leaf-Inner, C.E. Item No. 1 part number Y10090948 on quote 14FS-0361-4435</t>
  </si>
  <si>
    <t>-Provide 36 Radial Seal Leaf-Intermediate, C.E. Item No. 2 part number Y10090943 on quote 14FS-0361-4435</t>
  </si>
  <si>
    <t>-Provide 5/8" Fin. Hex Nut Item No. 6 part number 25412-10 on quote 14FS-0361-4435</t>
  </si>
  <si>
    <t>-Provide 5/8" Washer Item No. 7 part number 25413-10 on quote 14FS-0361-4435</t>
  </si>
  <si>
    <t>-Provide 5/8" X 1.75" Capscrew Item number. 5 Part Number 25404-14 on quote 14FS-0361-4435</t>
  </si>
  <si>
    <t>-Freight for PO# 901054</t>
  </si>
  <si>
    <t>TUBING.BLR,SA213 T12,1.50" X .256", SUPPLIER MUST FURNISH MILL CERTIFICATION/TEST REPORT</t>
  </si>
  <si>
    <t>TC2 boiler inspections and punchlist repairs resulting from inspections.</t>
  </si>
  <si>
    <t>SOUTHEAST BOILER AND RIGGING LLC</t>
  </si>
  <si>
    <t>-Install TC2 inspection doors at Trimble (Inv#46090703)</t>
  </si>
  <si>
    <t>INTEGRITY REFRACTORY CO</t>
  </si>
  <si>
    <t>-Labor for scaffolding modications in TC2 boiler during 2014 spring outage for inspections</t>
  </si>
  <si>
    <t>-Punchlist repairs at Trimble (Inv# 46090803)</t>
  </si>
  <si>
    <t>-Install TC2 inspection doors at Trimble (Inv#11460907)</t>
  </si>
  <si>
    <t>-Punchlist repairs at Trimble (Inv# 46090802)</t>
  </si>
  <si>
    <t>-Install Amstar coating on TC2 left and right wall 28 x 20 area, 101 spots and on 2 doors.</t>
  </si>
  <si>
    <t>-Payment of invoice - Remove/replace TC2 dipper plate at Trimble (Inv# 46091501)</t>
  </si>
  <si>
    <t>-Payment of Invoice - Punchlist repairs at Trimble (Inv# 11460908)</t>
  </si>
  <si>
    <t>-Trimble #2 backpass wash (Inv# 52285)</t>
  </si>
  <si>
    <t>-Vacuum TC#2 econ hoppers at Trimble (Inv#52282)</t>
  </si>
  <si>
    <t>-Vacuum Unit #2 econ duct at Trimble (Inv# 53498)</t>
  </si>
  <si>
    <t>-Additional Scaffolding for 2014 Spring Outage inspections TC2.</t>
  </si>
  <si>
    <t>-Vacuum &amp; waterblast Unit #2 hoppers at Trimble (Inv# 53095)</t>
  </si>
  <si>
    <t>-Wash header in TC2 backpass at Trimble (Inv# 52588)</t>
  </si>
  <si>
    <t>-2" X 0.2" THK 347, 90 DEG WEAR PADS - ARC SECTIONS MADE FROM 2.0" X 0.200" SA-213 TP347H TUBING</t>
  </si>
  <si>
    <t>-STEEL,FLATBAR - Provide 1/2" x 1/4"-Flatbar Grade. 11 Material.  400 feet 10' lengths.  Per quote 10080949.</t>
  </si>
  <si>
    <t>0633</t>
  </si>
  <si>
    <t>-Freight for PO# 902348</t>
  </si>
  <si>
    <t>Install basalt tile on TC2 SSC.</t>
  </si>
  <si>
    <t>UNITED CONVEYOR CORP (Services)</t>
  </si>
  <si>
    <t>PM-ANNUAL - + - 2A HOUSE AIR COMPRESSOR -</t>
  </si>
  <si>
    <t>PM-ANNUAL - + - 2B HOUSE AIR COMPRESSOR -</t>
  </si>
  <si>
    <t>PM-OUTAGE-ANNUAL - + - 2A INSTRUMENT AIR COMPRESSOR PM -</t>
  </si>
  <si>
    <t>CARTRIDGES,RESPIRATOR,AMMONIA/METHYLAMINE,2 PER PKG,PKG = EACH,30 STD PKG,USED FOR EMPLOYEE RESPIRAT</t>
  </si>
  <si>
    <t>-LABOR/MATERIAL - 16,000 hour PM's on the House Air + PJFF Compressor</t>
  </si>
  <si>
    <t>PM-OUTAGE-ANNUAL - + - 2B INSTRUMENT AIR COMPRESSOR PM -</t>
  </si>
  <si>
    <t>PM-ANNUAL - + - 2A PULSE JET FABRIC FILTER AIR COMPRESSOR</t>
  </si>
  <si>
    <t>2B mill inerting steam is leaking through.</t>
  </si>
  <si>
    <t>SLEEVE.SHAFT.9".RECYCLE PUMP</t>
  </si>
  <si>
    <t>Pull the 2C Hotwell Pump for inspection and possible pump bearing upgrade</t>
  </si>
  <si>
    <t>BOLT,EYE,5/8",HI-TEN CARBON STEEL</t>
  </si>
  <si>
    <t>BOLT,EYE,3/4",HI-TEN,CARBON STEEL GENERAL JOBS</t>
  </si>
  <si>
    <t>BEARING.2.438 X 4.750.NI-CARBO</t>
  </si>
  <si>
    <t>BEARING.2.938 X 5.750.NI-CARBO</t>
  </si>
  <si>
    <t>BEARING.3.688 X 7.250.NI-CARBO</t>
  </si>
  <si>
    <t>O-RING..139 X 15.955 X 16.233.NITRILE</t>
  </si>
  <si>
    <t>O-RING..139 X 6.984 X 7.262.NITRILE</t>
  </si>
  <si>
    <t>O-RING..210 X 14.975 X 15.395.NITRILE</t>
  </si>
  <si>
    <t>O-RING..210 X 20.953 X 21.373.NITRILE</t>
  </si>
  <si>
    <t>O-RING..275 X 37.000.NITRILE</t>
  </si>
  <si>
    <t>SEAL.BASIC.ASSY</t>
  </si>
  <si>
    <t>COVER,BOX,BLANK,FLAT,4-11/16"SQ,GALV STL,(25/CARTON)</t>
  </si>
  <si>
    <t>RAINWEAR,JACKET &amp; PANTS, GENERAL PURPOSE, SIZE  X-LARGE, ORANGE,</t>
  </si>
  <si>
    <t>RAINWEAR\SUIT-T:GENERAL PURPOSE:SMALL:JACKET AND PANTS</t>
  </si>
  <si>
    <t>LUBRICANT,SILICONE,LUBRICANT AND SEALANT,111 VALVE LUBE,14.1 OZ. TUBE,USED ON TRIMBLE COUNTY TURBINE</t>
  </si>
  <si>
    <t>-LABOR - JOB # 127424 - REVERSE ENGINEER (1) COUPLING AND (2) SHAFTS PER DATA COLLECTED. PROVIDE PRINTS TO LG&amp;E</t>
  </si>
  <si>
    <t>PUMPMEISTERS INC</t>
  </si>
  <si>
    <t>-LABOR/MATERIAL - JOB #127328 - FABRICATE COUPLING, GRIND (2) SHAFTS AND MAKE DRAWINGS</t>
  </si>
  <si>
    <t>-LABOR - TO PAY FOR (1) WEEK OF SERVICES FOR LG&amp;E SERVICE SHOP TEMP - WK. ENDING 3/30/14</t>
  </si>
  <si>
    <t>-LABOR - TO PAY FOR (1) WEEK OF SERVICES FOR LG&amp;E SERVICE SHOP TEMP - WK. ENDING 3/23/14</t>
  </si>
  <si>
    <t>-LABOR - TO PAY FOR (1) WEEK OF SERVICES FOR LG&amp;E SERVICE SHOP TEMP - WK. ENDING 3/16/14</t>
  </si>
  <si>
    <t>-TO PAY FOR (1) WEEK OF SERVICES FOR TRIMBLE COUNTY STATION - WK. ENDING 3/9/14</t>
  </si>
  <si>
    <t>-TO PAY FOR (1) WEEK OF SERVICES FOR TRIMBLE COUNTY STATION - WK. ENDING 3/30/14</t>
  </si>
  <si>
    <t>-LABOR - TO PAY FOR (1) WEEK OF SERVICES FOR TRIMBLE COUNTY STATION - WK. ENDING 3/23/14</t>
  </si>
  <si>
    <t>-LABOR - TO PAY FOR (1) WEEK OF SERVICES FOR TRIMBLE COUNTY STATION - WK. ENDING 3/16/14</t>
  </si>
  <si>
    <t>-TO PAY FOR (1) WEEK OF SERVICES FOR LG&amp;E SERVICE SHOP TEMP - WK. ENDING 06/01/14</t>
  </si>
  <si>
    <t>-LABOR - TO PAY FOR (1) WEEK OF SERVICES FOR TRIMBLE COUNTY STATION - WK. ENDING 6/15/14</t>
  </si>
  <si>
    <t>-LABOR - TO PAY FOR (1) WEEK OF SERVICES FOR TRIMBLE COUNTY STATION - WK. ENDING 6/8/14</t>
  </si>
  <si>
    <t>-LABOR - TO PAY FOR (1) WEEK OF SERVICES FOR TRIMBLE COUNTY STATION - WK. ENDING 6/1/14</t>
  </si>
  <si>
    <t>-LABOR - TO PAY FOR (1) WEEK OF SERVICES FOR SERVICE SHOP TEMP - WK. ENDING 6/8/14</t>
  </si>
  <si>
    <t>CONSTRUCTION AND CONSUMABLE SUPPLIES</t>
  </si>
  <si>
    <t>-DISC - CGW-59507 SURFACE CONDITIONING DISC TYPE "R" 3"</t>
  </si>
  <si>
    <t>DUBRIC INDUSTRIES INC\910628</t>
  </si>
  <si>
    <t>KDR SERVICES INC</t>
  </si>
  <si>
    <t>-DELIVER 2C HOTWELL PUMP &amp; DEMISTER WASH PUMP TO TC</t>
  </si>
  <si>
    <t>-STEEL - 01402700 2-1/2" RD 4140 CFA 12 FT</t>
  </si>
  <si>
    <t>-PICK UP 2C HOTWELL PUMP FROM TC</t>
  </si>
  <si>
    <t>-23659/14GA9440/1</t>
  </si>
  <si>
    <t>COUPLING.NOZZLE, WITH HARDWARE, FRP, VICTAULIC</t>
  </si>
  <si>
    <t>WO for Inspection and repairs of TC2 FGD</t>
  </si>
  <si>
    <t>PLASTIC,CLEAR,ROLL,20'X 100', 6 MIL</t>
  </si>
  <si>
    <t>EQUIPMENT DEPOT KENTUCKY INC</t>
  </si>
  <si>
    <t>-RENTAL EQUIPMENT - all-terrain scissor lift-43 ft</t>
  </si>
  <si>
    <t>External boiler leak Unit 2 10th landing southwest corner at spiral to vert</t>
  </si>
  <si>
    <t>BRUSH,WIRE,SCRATCH,CURVED WOODEN HANDLE 12/BOX FREEBIN MC</t>
  </si>
  <si>
    <t xml:space="preserve">Replace packing on TC2 HTR 6A, 6B, 7A, 7B, 8A, 8B inlet, outlet and bypass </t>
  </si>
  <si>
    <t>GLOVES\WORK.MECHANICAL.BLACK PALM.XXL..</t>
  </si>
  <si>
    <t>TAP,TAPER,HIGH SPEED,7/16-14,STEEL VARIOUS JOBS</t>
  </si>
  <si>
    <t>GASKET ASSEMBLY,30-40 DUROMETER 1/4" THICK NEOPRENE,USED ON TC BOTTOM ASH HOPPER REMOVABLE PANEL</t>
  </si>
  <si>
    <t>-LABOR - Repacked 2 Feedwater Valves Week 9</t>
  </si>
  <si>
    <t>-LABOR - Repacked 3 Feedwater Valves Week10</t>
  </si>
  <si>
    <t>-LABOR - Repacked 4 Feedwater Valves Week 8</t>
  </si>
  <si>
    <t>-LABOR - Repacked 9 Feedwater Valves Week 7</t>
  </si>
  <si>
    <t>-Packing for 4" Bonney Forge Valve</t>
  </si>
  <si>
    <t>-Packing for 6" Powell Valve</t>
  </si>
  <si>
    <t>-Packing for 18" Velan Valves</t>
  </si>
  <si>
    <t>TC2 HTR 8A normal drain to HTR 7A CV has packing leak</t>
  </si>
  <si>
    <t xml:space="preserve">Relief vlv on 2A TDBFP, 2B TDBFP and MDBFP booster pump suction is leaking </t>
  </si>
  <si>
    <t>PRECISION SERVICES INC</t>
  </si>
  <si>
    <t>TC2 HTR 7A, 7B, 8A, 8B Shellside safety leaking trough</t>
  </si>
  <si>
    <t>-66667/0093474IN/1</t>
  </si>
  <si>
    <t xml:space="preserve">DIE,HEXAGON,5/8",RE-THREADING CARBON STEEL,NATIONAL COURSE STANDARD W/RIGHT HAND UNIFIED &amp; AMERICAN </t>
  </si>
  <si>
    <t>TC2 DA operating vent MOV 544 leaking through</t>
  </si>
  <si>
    <t>CABLE,WELDING,2/0</t>
  </si>
  <si>
    <t>TC2 DA startup vent vlv V089 leaking through</t>
  </si>
  <si>
    <t>2B condensate HTR tubeside drain vlv leaking through</t>
  </si>
  <si>
    <t>2A condensate HTR tubeside relief vlv leaking through. PSV912A</t>
  </si>
  <si>
    <t>TC2 MDBFP suction vent vlv 2-BFD-V709 leaking through</t>
  </si>
  <si>
    <t>2F mill inerting MOV511F will not operate</t>
  </si>
  <si>
    <t>-1/2" Gore Joint Sealant (1000072316) Restock Material</t>
  </si>
  <si>
    <t>-Style 725 Pump Packing 5/8" (1000010337) Restock Material</t>
  </si>
  <si>
    <t>Inspect and replace as needed the first expansion joint from the TC2 coal m</t>
  </si>
  <si>
    <t>EFFOX INC</t>
  </si>
  <si>
    <t>-1/8" Viton Expansion Joint</t>
  </si>
  <si>
    <t>2A BFPT lube oil cooler A CC inlet relief vlv leaking</t>
  </si>
  <si>
    <t>TC2 HTR 6A and 6B shellside safety leaking through</t>
  </si>
  <si>
    <t>Replace all linkage arm nuts with lock nuts or apply loctite on all TC2 bur</t>
  </si>
  <si>
    <t xml:space="preserve">Open doors and get things ready for air heater wash during 2014 TC2 spring </t>
  </si>
  <si>
    <t>RING,SEAL,FISHER CNTRL VLV TC: FISHER CONTROL VALVE-CV-001,CV-204</t>
  </si>
  <si>
    <t>Pull and inspect the Hydrojet control valve. 2-SB-CV-521</t>
  </si>
  <si>
    <t>FOLLOWER,PACKING FOR VALVE S/N #6102536</t>
  </si>
  <si>
    <t>KIT.REPAIR.2" ES.2-CC-CV-008</t>
  </si>
  <si>
    <t>RING\BACKUP, 2", EPDM, FMS41 G39, 2-SB-CV-521</t>
  </si>
  <si>
    <t>SEAT RING,USED ON 1CV-31029,S/N-5034582, 1CV-31030, S/N5034583;1CV-31063,S/N4832050;1CV- 31074,S/N50</t>
  </si>
  <si>
    <t>PLUG,VALVE,WITH STEM,UNIT 3,S/N-6117638 TC: FISHER CONTROL VALVE-CV-001,CV-204</t>
  </si>
  <si>
    <t>CAGE\VALVE.LINEAR.2"..</t>
  </si>
  <si>
    <t>TC2 Open SCR Doors - 14 total</t>
  </si>
  <si>
    <t>TC2 Deaerator - Open Doors on heater and storage tank, both ends</t>
  </si>
  <si>
    <t>There is a piece of metal in AH hopper 243A, will not fit through inspectio</t>
  </si>
  <si>
    <t>GASKET,GENERATOR,HYDROGEN COOLER(LOC #1) SEQ #9602 MC-UNIT 2 &amp; 4;TC1 &amp;2-UNIT 1 TURBINE 270T105, UNIT</t>
  </si>
  <si>
    <t>extend piping for easy access on TC2 condenste low point drains below grati</t>
  </si>
  <si>
    <t>Remove and clean 2A turbine lube oil cooler.</t>
  </si>
  <si>
    <t>HASP,SAFETY,HINGE,4-1/2",STL</t>
  </si>
  <si>
    <t>LINK,MASTER,#60 FOR SOOTBLOWER RETRACTABLE MODEL T-30 FOR ROTARY CHAIN,UNIT 4 MODEL VST-100</t>
  </si>
  <si>
    <t>STEEL,CHANNEL,4"X 5.4#/FT.X 20'LG,H.R. EID: M0STBSBR</t>
  </si>
  <si>
    <t>ROPE,1/2" DA-PRO,600' REEL, FOR USE AS HANDLINES OR LIGHT PULLING</t>
  </si>
  <si>
    <t>GASKET.FRONT CHANNEL COVER.TURBINE OIL COOLER</t>
  </si>
  <si>
    <t>NATIONAL HEAT EXCHANGE CLEANING CORP</t>
  </si>
  <si>
    <t>-Waste Water and Solid Waste Disposal (USEPA#OHR000176446)</t>
  </si>
  <si>
    <t>-Transportation Charge for Roundtrip Shipment from LG&amp;E - TCS to Contractor's facility.</t>
  </si>
  <si>
    <t>DUNCAN MACHINERY MOVERS INC</t>
  </si>
  <si>
    <t>-LABOR - TO PAY FOR (1) WEEK OF SERVICES FOR TRIMBLE COUNTY STATION - WK. ENDING 2/23/14</t>
  </si>
  <si>
    <t>-1" Jaw for PFT505</t>
  </si>
  <si>
    <t>-Freight for PO# 900101</t>
  </si>
  <si>
    <t>-Clean TC2 reaction tanks at Trimble ((nv# 51860)</t>
  </si>
  <si>
    <t>Clean out TC2 reaction tank during outage.</t>
  </si>
  <si>
    <t>-Clean TC2 wet day interface &amp; scrubber (inv# 51859)</t>
  </si>
  <si>
    <t>-Vacuum TC2 reaction tank at Trimble (Inv# 52283)</t>
  </si>
  <si>
    <t>-Waterblast TC2 scrubber at Trimble (Inv# 52590)</t>
  </si>
  <si>
    <t>-Vacuum TC2 reactor tank at Trimble (Inv# 52926)</t>
  </si>
  <si>
    <t>-Waterbalst TC2 header line at Trimble (Inv# 52924)</t>
  </si>
  <si>
    <t>-Waterblast TC2 scrubber lines at Trimble (Inv# 52927)</t>
  </si>
  <si>
    <t>BOBCAT ENTERPRISES INC</t>
  </si>
  <si>
    <t>TC2 SCR Catalyst Samples</t>
  </si>
  <si>
    <t>PM-OUTAGE-ANNUAL - + - 2A P.A. FAN BEARINGS (DODGE) OIL CHANGE</t>
  </si>
  <si>
    <t>FILTER,OIL,4"X6",TIN/PAPER</t>
  </si>
  <si>
    <t>GAUGE,0-160PSI,1/4"BACK,1-3/4"DIAL TC-64R REGULATOR,WATER TREATMENT</t>
  </si>
  <si>
    <t>GAUGE,0-60PSI,3/8"BACK,1-3/4"DIAL TC: FISHER CONTROL VALVE-CV-016,OPC-001 OPC-006,OPC-007,ILC-026,1L</t>
  </si>
  <si>
    <t>PM-OUTAGE-ANNUAL - + - 2B P.A. FAN BEARINGS (DODGE) OIL CHANGE</t>
  </si>
  <si>
    <t>PM-OUTAGE-6 MONTH PM- 2A AIR HEATER GEARBOX OIL CHANGE</t>
  </si>
  <si>
    <t>PM-OUTAGE-6 MONTH PM- 2B AIR HEATER GEARBOX OIL CHANGE</t>
  </si>
  <si>
    <t>PM-OUTAGE - + - 2A1 AIR HEATER CLUTCH OIL CHANGE</t>
  </si>
  <si>
    <t>PM-OUTAGE - + - 2A2 AIR HEATER CLUTCH OIL CHANGE</t>
  </si>
  <si>
    <t>PM-OUTAGE - + - 2B1 AIR HEATER CLUTCH OIL CHANGE</t>
  </si>
  <si>
    <t>PM-OUTAGE - + - 2B2  AIR HEATER CLUTCH OIL CHANGE</t>
  </si>
  <si>
    <t>PM-OUTAGE-SEMI-ANNUAL - + -  2A P.A. FAN INSPECTION</t>
  </si>
  <si>
    <t>PM-OUTAGE-SEMI-ANNUAL - + -  2B P.A. FAN INSPECTION</t>
  </si>
  <si>
    <t>PM-OUTAGE-ANNUAL - + - 2A I.D. FAN VISUAL INSPECTION</t>
  </si>
  <si>
    <t>HOWDEN NORTH AMERICA INC</t>
  </si>
  <si>
    <t>PM-OUTAGE-ANNUAL - + - 2B I.D. FAN VISUAL INSPECTION</t>
  </si>
  <si>
    <t>GLOVE\MECHANIC, BLUE, MEDIUM</t>
  </si>
  <si>
    <t>Remove 12 Sample bags from four different compartments and place the compar</t>
  </si>
  <si>
    <t>FILTER.CARTRIDGES.STRING.WOUND.30'' LONG.3 MICRON NOMINAL.FOR STATOR.COOLING SYSTEM</t>
  </si>
  <si>
    <t>PM-OUTAGE-ANNUAL- STATOR COOLING SYSTEM FILTER CHANGE</t>
  </si>
  <si>
    <t>PM-OUTAGE - + - ANNUALLY- TC2 JACKING OIL PUMP FILTER</t>
  </si>
  <si>
    <t>PM-OUTAGE - + - 2A I.D. FAN BRAKE - INSPECT BRAKE ASSEMBLY</t>
  </si>
  <si>
    <t>PM-OUTAGE - + - 2A P.A. FAN BRAKE INSPECT</t>
  </si>
  <si>
    <t>PM-OUTAGE - + - 2B P.A. FAN BRAKE</t>
  </si>
  <si>
    <t>PM-OUTAGE - + - INSPECT TC2 DAMPERS</t>
  </si>
  <si>
    <t>PM-OUTAGE - + - 2A P.A. FAN ALIGNMENT AND COUPLING PM</t>
  </si>
  <si>
    <t>PM-OUTAGE - + - 2B P.A. FAN ALIGNMENT AND COUPLING PM</t>
  </si>
  <si>
    <t>BOOTS\OVERSHOE.16" TOP.SIZE 18...YELLOW TOP WITH BLACK SOLE</t>
  </si>
  <si>
    <t>PM-OUTAGE - + - INSPECT 2A + 2B COOLING TOWER BY PASS VALVES</t>
  </si>
  <si>
    <t>PM-OUTAGE - + - PIN FEEDWATER PIPING HANGERS</t>
  </si>
  <si>
    <t>3D ENGINEERING SOLUTIONS\900943</t>
  </si>
  <si>
    <t>PM-OUTAGE - + - SCAN I.D. + F.D. FAN BLADES</t>
  </si>
  <si>
    <t>3D ENGINEERING SOLUTIONS</t>
  </si>
  <si>
    <t>GASKET\FLEX STYLE R, #2500,4.781" X 5.219" X .125" THICK, FOR FUEL OIL STRAINERS</t>
  </si>
  <si>
    <t>PM-OUTAGE - + - CLEAN AND INSPECT FUEL STRAINERS</t>
  </si>
  <si>
    <t>PM-ANNUAL - + - BOTTOM ASH CHAIN CONVEYOR PLANETARY GEAR REDUCER. DRAIN, FL</t>
  </si>
  <si>
    <t>EXPRO INC</t>
  </si>
  <si>
    <t>TC2 Boiler Deslag Spring 2014.</t>
  </si>
  <si>
    <t>The main ash water supply to flyash building Iso vlv 14" is leaking through</t>
  </si>
  <si>
    <t>2B TDBFP Booster pump north mechanical seal is leaking</t>
  </si>
  <si>
    <t>JOHN CRANE INC\903509</t>
  </si>
  <si>
    <t>JOHN CRANE INC</t>
  </si>
  <si>
    <t>-SEAL,MECHANICAL - TDBFP Booster Pump Mechanical Seal 5.000 Type 48LPRS</t>
  </si>
  <si>
    <t>HINGE,STRAP,4",STEEL</t>
  </si>
  <si>
    <t>Replace TC2 pyrite hopper observation windows.  All hoppers.</t>
  </si>
  <si>
    <t>SHACKLE,ANCHOR,1" SCREW PIN,STEEL SHACKLE,RED IN COLOR,8-1/2 TON COAL &amp; LIMESTONE UNLOADING</t>
  </si>
  <si>
    <t>GLASS\SIGHT..6"...</t>
  </si>
  <si>
    <t>unit 2 IK18 sootblower packing is leaking</t>
  </si>
  <si>
    <t>Remove S.S.C and replace skirt gasket.</t>
  </si>
  <si>
    <t>-GASKET - 1/2" Thick Rubber x 6-1/4" Wide with 5 Bolthole's on 5-1/2" center</t>
  </si>
  <si>
    <t>-GASKET - 1/2" Thick Rubber x 6-1/4" Wide with 84 Bolthole's on 6" center</t>
  </si>
  <si>
    <t xml:space="preserve">COVER,CONDUIT BODY,BLANK,3/4",ALUMINUM, KILLARK P/N OL2 OR OL-20, MC: CONDUIT SYSTEMS FREE BIN ITEM </t>
  </si>
  <si>
    <t>Install quick connects on economizer + A/H hoppers</t>
  </si>
  <si>
    <t>GASKET,CONDUIT BODY,3/4"EMT,4-5/8"X1-1/2 " WIDE X 1/16" THK.RUBBER,*NON-ASBESTOS* UNIT 2 SDRS CONDUI</t>
  </si>
  <si>
    <t>BODY,CONDUIT,TYPE C,TWO 3/4"HUBS,AL MAKE BENDS IN THE CONDUIT SYSTEM,PROVIDE TAPS FOR BRANCH CONDUIT</t>
  </si>
  <si>
    <t>CORD,WIRE,16/2,600V,13AMP,TYPE-STO UNIT 6 RECYCLE &amp; THICKNER UNDERFLOW</t>
  </si>
  <si>
    <t xml:space="preserve">CONNECTOR,MALE,2 CONDUCTOR,MINIATURE, QUICK DISCONNECT CANE RUN UNIT 6 RECYCLE &amp; THICKNER UNDERFLOW </t>
  </si>
  <si>
    <t>Please inspect the 2C hydrojet seal air motor during outage. Makes High pit</t>
  </si>
  <si>
    <t>DIAMOND POWER INTERNATIONAL INC</t>
  </si>
  <si>
    <t>-FAN - Quote#1467700, 8427010018, FAN, 2.35HP, 460V,60HZ, 3PH</t>
  </si>
  <si>
    <t>-Freight for PO# 904659</t>
  </si>
  <si>
    <t>PM-ANNUAL - + - TURBINE VAPOR EXTRACTOR CHANGE FILTER</t>
  </si>
  <si>
    <t>FILTER.CARTRIDGE.DUAL BLOWER MIST ELIMINATOR</t>
  </si>
  <si>
    <t>PM-ANNUAL - + - TURBINE LUBE OIL DUPLEX FILTER CHANGE</t>
  </si>
  <si>
    <t>SWITCH\DISCONNECT, MANUAL. 600VAC</t>
  </si>
  <si>
    <t>Change the 2A ID Fan outlet damper MOV motor.</t>
  </si>
  <si>
    <t>GEORGIA WESTERN INC</t>
  </si>
  <si>
    <t>-L120-20 new fastener kit</t>
  </si>
  <si>
    <t>-L120-20 Motor Pinion 22T</t>
  </si>
  <si>
    <t>-L120-20 Worm Shaft Gear 30T</t>
  </si>
  <si>
    <t>-L120-20 Worm Gear 34T</t>
  </si>
  <si>
    <t>-L120-20 Worm Shaft Assy.</t>
  </si>
  <si>
    <t>-L120-20 Shop refurbihment</t>
  </si>
  <si>
    <t>PM-OUTAGE-PM- ROTATE 2A, 2B, 2C + 2D CONDENSER VACUUM PUMPS DURING LONG OUT</t>
  </si>
  <si>
    <t>BRUSH,PAINT,WALL,3",POLYESTER GENERAL PURPOSE</t>
  </si>
  <si>
    <t>Clean and inspect brush rigging on TC2 generator</t>
  </si>
  <si>
    <t>FITTING,CHICAGO,FEMALE,1/4"</t>
  </si>
  <si>
    <t>GLOVE\NITRILE-T.14 MIL,GREEN,SIZE 10 (1 PACKAGE = 1 DOZEN)</t>
  </si>
  <si>
    <t>DETERGENT,ALCONOX,BIODEGRADEABLE,4# BOX MC:FILTER CLEANING</t>
  </si>
  <si>
    <t>unit 2 seal oil pressure diff. reg. bypass manual valve TSO-V222 packing is</t>
  </si>
  <si>
    <t>I/E support for Bechtel sootblower piping upgrade.</t>
  </si>
  <si>
    <t>TC2 2014 Spring Outage Misc Scaffold / Insulation Needs</t>
  </si>
  <si>
    <t>Install refractory on new inspection doors and repair refractory on existin</t>
  </si>
  <si>
    <t>-67820/032614LGETTC2ODP/1</t>
  </si>
  <si>
    <t>NDE on balancing/mising header welds on TC2.  Repair as needed.</t>
  </si>
  <si>
    <t>2A ID Fan Outlet Damper binding especially at less than 10% open</t>
  </si>
  <si>
    <t>Check oil and Hydraulic levels on TC2 I.D. + F.D fans.</t>
  </si>
  <si>
    <t>-Repair work done on the 7B Bypass Valve</t>
  </si>
  <si>
    <t>The heater 7B  bypass valve has a broken gear box. Please replace and inspe</t>
  </si>
  <si>
    <t>-LABOR - 7B Bypass Gearbox Broke Week 6</t>
  </si>
  <si>
    <t>VALVE\SOLENOID, REXROTH</t>
  </si>
  <si>
    <t>Investigate TC 2 GPR Lockout</t>
  </si>
  <si>
    <t>DETECTOR,LEAK,BUBBLES,LEAK TECH SC80,8 OUNCE BOTTLE,CHECKING LEAKS ON GAS &amp; AIR LINES</t>
  </si>
  <si>
    <t>TC2 High Energy Piping Repairs Post Inspection</t>
  </si>
  <si>
    <t>Replace 3 idler wheels on the S.S.C. and add 6 doors 3 on each side.</t>
  </si>
  <si>
    <t>SPADE,DRAIN,14",STEEL,SUPER D GRIP 6/PKG</t>
  </si>
  <si>
    <t>Replace chain on TC2 SSC.</t>
  </si>
  <si>
    <t>BODY\BAR, FLIGHT, W/AR 400 WEAR PLATES, FOR S.S.C.</t>
  </si>
  <si>
    <t>TEETH\DRIVE SPROCKET, MID WEAR BAC CHAIN CONVEYOR</t>
  </si>
  <si>
    <t>WHEEL.IDLER.COMPLETE SUBMERGED.FOR CHAIN 34X144.2-AHB-MH-001</t>
  </si>
  <si>
    <t>The TC2 A SCR dP pressure tap location needs to be changed.</t>
  </si>
  <si>
    <t>Investigate issues with TC2 ID fan hub heaters.</t>
  </si>
  <si>
    <t>-21617094 - Heat panel, Diffuser, 10.2 HP, 7.87" x 15.8", 3 x 480</t>
  </si>
  <si>
    <t>-DIFFUSER - Quote# N-4008 Revision 2, Heat panel-Diffuser,10.2HP, 07.87" x 15.8" x 480V</t>
  </si>
  <si>
    <t>-PANEL,HEAT - Heat panel-Intermediate, 6.8HP, 07.87" x 15.8", 480V</t>
  </si>
  <si>
    <t>Change out 2B ID Fan blade hubs</t>
  </si>
  <si>
    <t>TAP,HAND,TAPER,SIZE 3/8-16,HIGH SPEED, GROUND THREAD 5/PKG USED AT MC &amp; TC</t>
  </si>
  <si>
    <t>DRUM,STEEL,55GAL,W/TWO BUNG HEAD,U.N. MARKED WITH 1A1/Y/1.2/100,NEW,3/4" N.P.T. HOLE AND 2" N.P.T. H</t>
  </si>
  <si>
    <t>PLUG\PIPE, DIN 00908, M27X2, HUB, REGULATING END</t>
  </si>
  <si>
    <t>COVERALL\TYVEK.HOODED W/BOOTS.XXXL.BLUE</t>
  </si>
  <si>
    <t>BOLT,EYE,1",HI-TEN CARBON STEEL GENERAL JOBS</t>
  </si>
  <si>
    <t>FILTER,DISPOSABLE,GENERATOR,DIODE CAB, 29-3/8" X 23-1/2" X 2" TC:GENERATOR DIODE CABINET</t>
  </si>
  <si>
    <t>SEAL.COPPER.GASKET.2-FL-MF-001A</t>
  </si>
  <si>
    <t>BRAKE\DRUM, SET(2), TC2 ID FANS</t>
  </si>
  <si>
    <t>SUPERIOR ENVIRONMENTAL SOLUTIONS INC</t>
  </si>
  <si>
    <t>-Vacuum and waterblast unit 2 ID fans (Inv# 33072) 3/21/14</t>
  </si>
  <si>
    <t>-LABOR/MATERIAL - Refurbish I.D. Fan Hubs (ANT/2240B)</t>
  </si>
  <si>
    <t>-Technical advisor to supervise removal of ID fan drive end and regulating end hubs and FD fan hub and installation of spare hubs. Quote# N-3956</t>
  </si>
  <si>
    <t>Cancelled correct inv # POI017969</t>
  </si>
  <si>
    <t>HOWDEN NORTH AMERICA INC\903518</t>
  </si>
  <si>
    <t>-LABOR/MATERIAL - Rebuild 10 Ton Hydraulic Cylinder</t>
  </si>
  <si>
    <t>-LABOR/MATERIAL - Refurbish F.D. Fan Hub (ANN/1600B)</t>
  </si>
  <si>
    <t>-WASHER,FLAT - SS 316 1/2" flat washer</t>
  </si>
  <si>
    <t>-NUT - SS 316  1/2"  - 13 nuts</t>
  </si>
  <si>
    <t>-BOLT - SS HCS 1/2" - 13 x 1 1/2" bolts</t>
  </si>
  <si>
    <t>MOTION INDUSTRIES INC\900923</t>
  </si>
  <si>
    <t>-GASKET - 3/4" x 3/4" Gasket (1000072331)</t>
  </si>
  <si>
    <t>-FW  (78021)</t>
  </si>
  <si>
    <t>-FHN 1/2 (77714)</t>
  </si>
  <si>
    <t>-HCS 1/2 (70211</t>
  </si>
  <si>
    <t>-BLOCK - SKF 1013523E Oil Injector Block</t>
  </si>
  <si>
    <t>-GASKET - Copper Gasket (4048457)</t>
  </si>
  <si>
    <t>-SCREW,SOCKET HEAD Hexagon Socket Head Screw (9004250)</t>
  </si>
  <si>
    <t>-Oil Plug (9105228)</t>
  </si>
  <si>
    <t>-O-ring (9106606)</t>
  </si>
  <si>
    <t>-GASKET - Copper Valve Gasket 44mm</t>
  </si>
  <si>
    <t>-BUSHING - Glacier Bushing (9009812)</t>
  </si>
  <si>
    <t>-O-ring (9106669)</t>
  </si>
  <si>
    <t>-Screw (9109944)</t>
  </si>
  <si>
    <t>-SCREW,CAP - Hexagon Cap Screw (9106024)</t>
  </si>
  <si>
    <t>-SCREW,CAP - Hexagon Cap Screw (9125217)</t>
  </si>
  <si>
    <t>-SCREW,CAP - Hexagon Cap Screw (9117207)</t>
  </si>
  <si>
    <t>-PASTE - Molykote GN Paste (9109034)</t>
  </si>
  <si>
    <t>-SCREW,CAP - Hexagon Cap Screw (9131650)</t>
  </si>
  <si>
    <t>-O-ring (9109833)</t>
  </si>
  <si>
    <t>-SEAL - Bonded Seal (9111733)</t>
  </si>
  <si>
    <t>-SCREW,CAP - Hexagon Cap Screw (9131649)</t>
  </si>
  <si>
    <t>-BUSHING - Glacier Bushing (9010901)</t>
  </si>
  <si>
    <t>-SEAL - Bonded Seals (9110124)</t>
  </si>
  <si>
    <t>MERCER TRANSPORTATION CO INC</t>
  </si>
  <si>
    <t>Change out 2B FD Fan blade hub.</t>
  </si>
  <si>
    <t>BRUSH,PAINT,2",POLYESTER</t>
  </si>
  <si>
    <t>BRUSH,PAINT,1-1/2",POLYESTER</t>
  </si>
  <si>
    <t>HOSE\HYDRAULIC.RETURN..L=1500 MM,1/2" DIA..2-CB-MF-002A</t>
  </si>
  <si>
    <t>-Service Rep for Fan Start up 5-7-14</t>
  </si>
  <si>
    <t>HOWDEN NORTH AMERICA INC\901340</t>
  </si>
  <si>
    <t>-Distance Pipe (4132695)</t>
  </si>
  <si>
    <t>Need to install sliding terminal blocks (slide links) on unit 2 ammonia det</t>
  </si>
  <si>
    <t>TC2 8A HP Feedwater heater bypass valve will not open. TS+R</t>
  </si>
  <si>
    <t>-LABOR/MATERIAL - Parts and Labor for 8A Heater Outlet Valve</t>
  </si>
  <si>
    <t>-LABOR - Repaired Feedwater Bypass Valve Week 5</t>
  </si>
  <si>
    <t>2B BFP exhaust trunk rupture disc is leaking  identified with condenser air</t>
  </si>
  <si>
    <t>TC2 #1 LP turbine northeast and southeast gland seal housing leaking, horiz</t>
  </si>
  <si>
    <t>TC2 leak at southwest corner away from condenser, steam dump bypass vlv und</t>
  </si>
  <si>
    <t>Fabricate test ports for WESP inlet.</t>
  </si>
  <si>
    <t>GUN,CAULK,RATCHET,10.3 OZ. IND. SUPER NEWBURN. USED FOR HIGH TEMP RTV SEALENT.</t>
  </si>
  <si>
    <t>-1" Sch 40 x 12" L. w/NPT THREADED ENDS</t>
  </si>
  <si>
    <t>-1" THREADED, IN-LINE BALL VALVE, 150# (3-PC DESIGN)</t>
  </si>
  <si>
    <t>-1 S80 PVC PLUG THD D2467</t>
  </si>
  <si>
    <t>-PN 71077 S/S L/W 3/4</t>
  </si>
  <si>
    <t>-PN 71028 S/S FW 3/4x1-7/8 OD</t>
  </si>
  <si>
    <t>-PN 77717 3/4"-10 316 S/S FHN</t>
  </si>
  <si>
    <t>-1X3/4 150/3K/6K T316/316L SS HEX HEAD BUSHING THD SA182</t>
  </si>
  <si>
    <t>-3/4 MPT STAINLESS CROWFOOT COUPLING SFM075SS</t>
  </si>
  <si>
    <t>-PN 70364 S/SHCS 3/4-10X2 3/4</t>
  </si>
  <si>
    <t>-PN 70367 S/S HCS 3/4-10X3 1/2</t>
  </si>
  <si>
    <t>WESP Observation Window--Repalce the broken glass on the western most windo</t>
  </si>
  <si>
    <t>CARTRIDGE ASSEMBLY,DISCHARGE,CHEMICAL FEED PUMPS,AUXILIARY BOILER (ABL) M ROY CONTROLLED VOLUME SODI</t>
  </si>
  <si>
    <t>FOSTER WHEELER NORTH AMERICA CORP</t>
  </si>
  <si>
    <t>-GLASS,SIGHT - Sight Glass 10 x 10 Square</t>
  </si>
  <si>
    <t>VALVE\CONTROL.DIRECTIONAL.......TC2 TURBINE</t>
  </si>
  <si>
    <t>TC2 MASTER TRIP SOLENOID VALVE TEST - On the TEST B2 the B2 OPERATED was sh</t>
  </si>
  <si>
    <t>-Bosch Rexroth directional control valve P/N R978032501 - 4WH22K7X/V SO43A-1829</t>
  </si>
  <si>
    <t>Clean all Lime injection ports on duct work behind Air Heater.</t>
  </si>
  <si>
    <t>TC2 FGD  bleed to Syn Mat leaking at bolt flange east of 2-OSD-CV423 2 blee</t>
  </si>
  <si>
    <t>CEMENT,CONTACT,ALL PURPOSE,24 OZ AEROSOL CAN</t>
  </si>
  <si>
    <t>-VALVE,GLOBE - 4" Powell Globe Valve</t>
  </si>
  <si>
    <t>-Change Order 001 - Additional Scope to remove Belzona buildup on piping requiring additional personnel; and Additional Work Hours to expedite completion date to April 10, rather than original date of April 23, 2014.</t>
  </si>
  <si>
    <t>Replace all the TC2 recycle pump inlet valve retaining flanges and pull one</t>
  </si>
  <si>
    <t>TC2 HRH CV-116A/B Desuperheater, Expander Replacement</t>
  </si>
  <si>
    <t>BOLT,EYE,1/4",HI-TEN CARBON STEEL</t>
  </si>
  <si>
    <t>BIT,DRILL,HIGH SPEED,39/64",1/2"SHANK, JOBBERS LGTH. VARIOUS JOBS</t>
  </si>
  <si>
    <t>LUBRICANT,ANTI-SEIZE,COPPER GRAPHITE, NUCLEAR GRADE,N-1000 TURBINE PARTS</t>
  </si>
  <si>
    <t>CONTROL COMPONENTS INC</t>
  </si>
  <si>
    <t>-Seat Ring - PN 320301780 - machine repair wear areas as found by CCI tech, Kevin Caldwell</t>
  </si>
  <si>
    <t>CONTROL COMPONENTS INC\903189</t>
  </si>
  <si>
    <t>-Plug Assembly - PN 924107474 - machine repair wear areas as found by CCI tech, Kevin Caldwell</t>
  </si>
  <si>
    <t>-T+M work on the TC2 HRH CV-116 A/B Elliptical head replacements</t>
  </si>
  <si>
    <t>-LABOR - 2-HR-CV-116AB DIS-ASSEMBLE - ESTIMATED LABOR TO DIS-ASSEMBLE BOTH CCI VALVES FOR VALVE PIPE REPAIRS - 3 TECHS, 4 DAYS MAX</t>
  </si>
  <si>
    <t>IMR METALLURGICAL SERVICES</t>
  </si>
  <si>
    <t>TEAM INDUSTRIAL SERVICES INC</t>
  </si>
  <si>
    <t>-LABOR - 2-HR-CV-116AB ASSEMBLE - ESTIMATED LABOR TO ASSEMBLE BOTH CCI VALVES FOR VALVE PIPE REPAIRS - 3 TECHS FOR 4 DAYS</t>
  </si>
  <si>
    <t>-LABOR/MATERIAL - T+M Estimate for service tech work from 4/7-4/9 and 4/28-5/2 for valve assembly and disassembly (tentative dates)</t>
  </si>
  <si>
    <t>-MATERIAL - Item 33003 - ACT SOFT GOODS, SC/V500, 9PARTS</t>
  </si>
  <si>
    <t>-MATERIAL - Item 320301780 - RING, SEAT, 19, 19.81, N,410</t>
  </si>
  <si>
    <t>-LABOR - TO PAY FOR (1) WEEK OF SERVICES FOR TRIMBLE COUNTY STATION - WK ENDING 7/13/14</t>
  </si>
  <si>
    <t>-TO PAY FOR (1) WEEK OF SERVICES FOR TRIMBLE COUNTY STATION - WK. ENDING 7/27/14</t>
  </si>
  <si>
    <t>-LABOR - TO PAY FOR (1) WEEK OF SERVICES FOR TRIMBLE COUNTY STATION - WK ENDING 7/20/14</t>
  </si>
  <si>
    <t>CONTROL COMPONENTS INC\901574</t>
  </si>
  <si>
    <t>-2-HR-CV-116 A/B elliptical heads (quantity 2), soft goods for each valve disassembly/reassembly, expedite fee for each elliptical head (4 week delivery MAXIMUM), and project discount</t>
  </si>
  <si>
    <t>-FEDEX CUSTOM CRITICAL #424139</t>
  </si>
  <si>
    <t>-Freight for PO# 903189</t>
  </si>
  <si>
    <t>Repair the 4" flange that has been filled by fermanite on the supply line t</t>
  </si>
  <si>
    <t>TC2 Ductwork and Expansion Joint Repair Work</t>
  </si>
  <si>
    <t>-Vacuum TC2 air heater duct work at Trimble (Inv#52042)</t>
  </si>
  <si>
    <t>-Vacuum TC2 air heater ducts (Inv# 52589)</t>
  </si>
  <si>
    <t>-Vacuum TC2 wind boxes at Trimble (Inv# 52286)</t>
  </si>
  <si>
    <t>-4 X 8 X 20 GA 316 S/S SHEET</t>
  </si>
  <si>
    <t>-LINER - 3/16" THK A36 FLOW LINER - 100% BREACH COVERAGE ACROSS BOTTOM AND 6FT UP SIDES - EJ-3 AH TO DESP SPLIT</t>
  </si>
  <si>
    <t>-PILLOW - REPLACEMENT CAVITY PILLOW - ACROSS BOTTOM AND 6FT UP SIDES - EJ 3 AH TO DESP SPLIT</t>
  </si>
  <si>
    <t>-LINER - 3/16" THK A36 FLOW LINER - 100% BREACH COVERAGE ACROSS BOTTOM AND 6FT UP SIDES - EJ-4 THRU EJ-7 INLET DUCT 2A/2B DESP</t>
  </si>
  <si>
    <t>-Freight for PO# 902338</t>
  </si>
  <si>
    <t>LAMP,75W,130V,MED BASE,INSIDE FROSTED 120/CASE FREE BIN ITEM - TC</t>
  </si>
  <si>
    <t>Replace trial oil flame scanner with original scanner.</t>
  </si>
  <si>
    <t>Pull and inspect 8A Heater normal drain. 2-HD-CV-801AA.</t>
  </si>
  <si>
    <t>REGULATOR\FILTER, 2-BMS-CV-100A-F</t>
  </si>
  <si>
    <t>Unwire and remove air line from 2-TDR-CV-020B</t>
  </si>
  <si>
    <t>TC2  2-CP-PSV-908 relief vlv leaking through.</t>
  </si>
  <si>
    <t>-27DA13-M40 Valve</t>
  </si>
  <si>
    <t>UNITED SERVO HYDRAULICS INC\906174</t>
  </si>
  <si>
    <t>Rebuild REXROTH Turbine Control Servos</t>
  </si>
  <si>
    <t>UNITED SERVO HYDRAULICS INC</t>
  </si>
  <si>
    <t>-MODEL# R900733235, SERIAL# U905, CLEAN, CALIBRATE</t>
  </si>
  <si>
    <t>-MODEL# R900733235, SERIAL# U906, CLEAN, CALIBRATE</t>
  </si>
  <si>
    <t>-MODEL# R900733235, SERIAL# U907, CLEAN, CALIBRATE</t>
  </si>
  <si>
    <t>-MODEL# R900733235, SERIAL# U908, CLEAN, CALIBRATE</t>
  </si>
  <si>
    <t>-MODEL# R900733235, SERIAL# U909, CLEAN, CALIBRATE</t>
  </si>
  <si>
    <t>-MODEL# R900733235, SERIAL# U905, SLEEVE, ORFICE</t>
  </si>
  <si>
    <t>-MODEL# R900733235, SERIAL# U909, SLEEVE, ORFICE</t>
  </si>
  <si>
    <t>-MODEL# R900733235, SERIAL# U907, SLEEVE, ORFICE</t>
  </si>
  <si>
    <t>-MODEL# R900733235, SERIAL# U906, SLEEVE, ORFICE, TORQUE MOTOR</t>
  </si>
  <si>
    <t>7 KV breaker for 2B PA Fan needs to have breaker truck</t>
  </si>
  <si>
    <t>Inspect Generator Lead Box for oil contamination</t>
  </si>
  <si>
    <t>Replace shaft grounding brush</t>
  </si>
  <si>
    <t>MORGAN A M AND T</t>
  </si>
  <si>
    <t>-25C14917P01, IND L4 1.0000X0.3750X1.3750</t>
  </si>
  <si>
    <t>Ring out wiring for Project Engineering</t>
  </si>
  <si>
    <t>Re-range 2-QWP-PT-061 to 0-60psi, See Logan.</t>
  </si>
  <si>
    <t>ROSEMOUNT INC</t>
  </si>
  <si>
    <t>-KIT - Quote#3866366, 03031-0332-0012, kit,spares,4-20mA T-Block, Transiet</t>
  </si>
  <si>
    <t>-MANIFOLD - 0305RC22B11B4, integral manifold</t>
  </si>
  <si>
    <t>-TRANSMITTER,PRESS. - 3051CG4A02A1AM5S5Q4, pressure transmitter</t>
  </si>
  <si>
    <t>TC2 HPFWH 8A Outlet and 8B inlet valves need repairs.</t>
  </si>
  <si>
    <t>TC-AH-</t>
  </si>
  <si>
    <t>Ash Handling - 002650</t>
  </si>
  <si>
    <t>GEN MTC: CCP DISPOSAL</t>
  </si>
  <si>
    <t>ASH HANDLING</t>
  </si>
  <si>
    <t>-Maintenance support labor at Trimble (Inv# AME31835) December, 2013</t>
  </si>
  <si>
    <t>Remove the piece of scraper from the Bottom Ash Scraper Conveyor</t>
  </si>
  <si>
    <t>TC2-24</t>
  </si>
  <si>
    <t>-LABOR - TO PAY FOR (1) WEEK OF SERVICES FOR LG&amp;E SERVICE SHOP TEMP - WK ENDING 12/22/13</t>
  </si>
  <si>
    <t>-Base crew labor hours at Trimble (Inv# 500028550) wk ending 12/20/13</t>
  </si>
  <si>
    <t>-LABOR - TO PAY FOR (1) WEEK OF SERVICES FOR TRIMBLE COUNTY STATION - WK. ENDING 12/22/13</t>
  </si>
  <si>
    <t>-TO PAY FOR (1) WEEK OF SERVICES FOR TRIMBLE COUNTY STATION - WK. ENDING 1/19/14</t>
  </si>
  <si>
    <t>-MATERIAL FOR TC UNIT 2 SUBMESIBLE IDLER SCRAPER / 09204620 3" SQ MED CARB ALLOY HT DCF 11IN.</t>
  </si>
  <si>
    <t>BEARING HEADQUARTERS CO</t>
  </si>
  <si>
    <t>-SEAL,TIMKEN 416039, REPAIR TC #2 IDLER WHEEL BEARING ASS'Y</t>
  </si>
  <si>
    <t>Direct Pay - No Sales Tax</t>
  </si>
  <si>
    <t>-MATERIAL FOR TC UNIT 2 SUBMESIBLE IDLER SCRAPER/ 17504500 3/8" X 3" 304/304L SS S&amp;E 12FT</t>
  </si>
  <si>
    <t>-MATERIAL FOR TC UNIT 2 SUBMESIBLE IDLER SCRAPER / 32928000 10-1/2" RD 4140/42 HR Q&amp;T 30IN.</t>
  </si>
  <si>
    <t>-BEARING,ROLLER AMERICAN, REQUIRED TO REPAIR TC #2 IDLER WHEEL BEARING ASS'Y</t>
  </si>
  <si>
    <t>MAGNOLIA METAL CORP\896986</t>
  </si>
  <si>
    <t>-MATERIAL TO FAB BEARING FOR TC2 BOTTOM ASH SCRAPERC95400 5 X 2 X 12 ALUM. BRONZE</t>
  </si>
  <si>
    <t>-MATERIAL TO FAB BEARING FOR TC2 BOTTOM ASH SCRAPERC95400 8 X 4 X 16 ALUM. BRONZE</t>
  </si>
  <si>
    <t>-Provide TA for the TC2 SCC inspection on 1/30/14 and 2/24/14</t>
  </si>
  <si>
    <t>-Provide 5 4" x 7-7/8" x 1-1/4" basalt tile per Alstom quote 20036048 item 000080</t>
  </si>
  <si>
    <t>-Provide 9 4" x 7-7/8" x 1-1/4" basalt tile per Alstom quote 20036048 item 000050</t>
  </si>
  <si>
    <t>-Provide 10 4" x 7-7/8" x 1-1/4" basalt tile per Alstom quote 20036048 item 000070</t>
  </si>
  <si>
    <t>-Provide 2 4" x 4" x 1-1/4" basalt tile per Alstom quote 20036048 item 000060</t>
  </si>
  <si>
    <t>-Provide 2 4" x 6" x 1-1/4" basalt tile per Alstom quote 20036048 item 000040</t>
  </si>
  <si>
    <t>-Provide 3 4" x 4" x 1-1/4" basalt tile per Alstom quote 20036048 item 000090</t>
  </si>
  <si>
    <t>-Provide 20 4" x 7-7/8" x 1-1/4" basalt tile per Alstom quote 20036048 item 000020</t>
  </si>
  <si>
    <t>-Provide 20 6" x 7-7/8" x 1-1/4" basalt tile per Alstom quote 20036048 item 000030</t>
  </si>
  <si>
    <t>-Provide 100 7-7/8" x 7-7/8" x 1-1/4" basalt tile per Alstom quote 20036048 item 000010</t>
  </si>
  <si>
    <t>-Angle Iron 3/4" x 3/4" x 1/8"</t>
  </si>
  <si>
    <t>Install 1/2" thick AR400 plate over the SSC drain box.</t>
  </si>
  <si>
    <t>-AR400 Plate Steel 1/2" x 4' x 8'</t>
  </si>
  <si>
    <t>Replace 3 idler wheels on the S.S.C.</t>
  </si>
  <si>
    <t>Add 2 four inch drain valves to the east side of the S.S.C.</t>
  </si>
  <si>
    <t>UNITED RENTALS INC</t>
  </si>
  <si>
    <t>-RENTAL EQUIPMENT - Chain air hoist rental. Invoice 119177524-001</t>
  </si>
  <si>
    <t>GAS DUSTING,INERT,AIR PRESSURIZED,WITH ADJ SPRAYHEAD MOISTURE FREE,10 OZ CAN,</t>
  </si>
  <si>
    <t xml:space="preserve">NEED TO REMOVE THE ELBOWS AFTER THE FF BRANCH LINE GATE VLVS ON ROWS A.1.2 </t>
  </si>
  <si>
    <t>TC2-28</t>
  </si>
  <si>
    <t>TC2 DESP hopper 2A22-2 gate is not closing completely allowing trunk line t</t>
  </si>
  <si>
    <t>VALVE\KNIFE GATE, 6", TOWNLEY, 80SS SERIES,W / 10" OVERSIZED CYL,GO SWITCHES,FOR PYRITE SYSTEM</t>
  </si>
  <si>
    <t>AH hopper 243A has two pieces of 3-4" flatstock in it please remove.</t>
  </si>
  <si>
    <t>VALVE\KNIFE GATE.40D.8".BRANCHLINE.TC2</t>
  </si>
  <si>
    <t>TC-BL-</t>
  </si>
  <si>
    <t xml:space="preserve">TUBING.BLR.SA213 T23.2.50" X 0.28.SUPPLIER MUST FURNISH MILL CERTIFICATION/TEST REPORT.FURNACE ROOF </t>
  </si>
  <si>
    <t>Boiler - 002650</t>
  </si>
  <si>
    <t>GEN MTC: BOILER</t>
  </si>
  <si>
    <t>BOILER PROPER</t>
  </si>
  <si>
    <t>Following four (4) events in which a total of nine (9) boiler roof tubes fa</t>
  </si>
  <si>
    <t>-Vacuum TC2 penthouse at Trimble (Inv# 51857)</t>
  </si>
  <si>
    <t>MINNOTTE MANUFACTURING CORP</t>
  </si>
  <si>
    <t>-MATERIAL - PO to cover 15 additional tubes purchased for TC2 Roof.  Slight bends unseen on drawings.</t>
  </si>
  <si>
    <t xml:space="preserve">The Boiler drains recovery vessel manual level control valve has a packing </t>
  </si>
  <si>
    <t>-1.5" Yarway 5827 Valve</t>
  </si>
  <si>
    <t>Open doors and remove elbow + vacuum breaker during TC2 outage</t>
  </si>
  <si>
    <t>TC2-23</t>
  </si>
  <si>
    <t>-66667/0093153IN/1</t>
  </si>
  <si>
    <t>-LABOR - Remove and Replace 2- 2" TDR Valves</t>
  </si>
  <si>
    <t>-VALVE,BALL,Ball Valve Velan 2" (W08-52Q34-FRKA)</t>
  </si>
  <si>
    <t>HAYWARD TYLER INC</t>
  </si>
  <si>
    <t>HAYWARD TYLER INC\898564</t>
  </si>
  <si>
    <t>-PN 01-004-192-707-200A - Pin, Split Cotter, 3/8 Dia x 6.00 Lg, Zinc Plated Steeel, QA Class I</t>
  </si>
  <si>
    <t>-PN 16201M10/35 - CS Hx Hd, M10 x 35mm Lg, metric class 8.8, DIN 933, Plain/unplated, quality level I</t>
  </si>
  <si>
    <t>-PN 16526M6 - locknut, full height (Flexloc, Philidas or Flex-top), M6 x 10, Plain mild steel</t>
  </si>
  <si>
    <t>-PN 17207M10 - Washer, Spring, M10, Single Coil, Steel</t>
  </si>
  <si>
    <t>-PN 17207M8 - Washer, spring, M8, Single Coil, Steel</t>
  </si>
  <si>
    <t>-PN 4-M0201-0818-F420 - CS Hx Soc. Hd M8 x 1.25 x 45mm Lg, Alloy Steel, ASTM A574</t>
  </si>
  <si>
    <t>-PN 16884M10/80 - CS Hx Soc Hd, M10 x 80mm Lg, DIN 912, Class 12.9, Alloy Steel</t>
  </si>
  <si>
    <t>-PN 16884M8/30 - CS Hx Soc Hd, M8x 30mm Lg, DIN 912, CLass 12.9, alloy steel</t>
  </si>
  <si>
    <t>-PN 01-004-192-103-300A - Pin, Cotter (split pin), 3/32" DIA x 1" Lg, 18-8 SS</t>
  </si>
  <si>
    <t>-PN 42577/210 - Nordlock Lock Washer, 3/8", 316 SS, used in pairs</t>
  </si>
  <si>
    <t>-PN 01-203-619-001-431A - Stop Pin, Thrust Pad, ASTM A276 Type 431, 40 Rc Min</t>
  </si>
  <si>
    <t>-PN 01-203-627-001-431A - Stop pin, Thrust Pad, ASTm A276 Type 431, 40Rc Min</t>
  </si>
  <si>
    <t>-PN 42499/445IHT - Gasket, motor cover, HT/Flexicarb</t>
  </si>
  <si>
    <t>-PN 01-302-534-010-Q4295 - Thurst pad, LH, Domestically Sourced, Set of 10, ASTM A743 CA40 HT + Tempered 39-49 Rc</t>
  </si>
  <si>
    <t>-PN 38192/13Q - Thrust Pad, LH M/C, BS3146 part 2 ANC 2, 34-50 Rc, Made from UK Tool 38192/1</t>
  </si>
  <si>
    <t>-PN 42864/1501 - Thrust Disc - Final M/C ASTm A36 and T2</t>
  </si>
  <si>
    <t>-Inspect TC2 boiler components during 2014 spring outage.</t>
  </si>
  <si>
    <t>-Base crew labor hours at Trimble (Inv# 169412) 12/30/13 - 1/26/14</t>
  </si>
  <si>
    <t>PLC programs TC2 Sootblower and Hydrojet</t>
  </si>
  <si>
    <t>O-RING\~, FLUOROCARBON, TYPE ARP56, HYDROJET</t>
  </si>
  <si>
    <t>Inspect and repair all 4 TC2 water cannon</t>
  </si>
  <si>
    <t>TAP,HAND,PLUG,SIZE 1-1/4"-7,HIGH SPEED, GOUND THREAD</t>
  </si>
  <si>
    <t>RING\SEAL, NOZZLE, HYDROJET</t>
  </si>
  <si>
    <t>JOINT\CARDON, ASSEMBLY, HYDROJET</t>
  </si>
  <si>
    <t>JOINT\CARDON, WALLBOX, HYDROJET</t>
  </si>
  <si>
    <t>-Freight for PO# 903507</t>
  </si>
  <si>
    <t>Monitor Doosan economizer hanger repair and replacement</t>
  </si>
  <si>
    <t>main steam line drain valve TDR-CV 019B manual inlet isolation valve packin</t>
  </si>
  <si>
    <t>MAIN STEAM LINE ISOLATION VALVE 029 BEFORE TDRCV-019B DRAIN VALVE IS LEAKIN</t>
  </si>
  <si>
    <t>-Payment of Invoice - Base crew labor hours at Trimble (Inv# 500032087) wk ending 9/19/14</t>
  </si>
  <si>
    <t>-VALVE,BALL -W08-52Q34-FRKA Ball Valve 2"</t>
  </si>
  <si>
    <t>FURMANITE AMERICA INC</t>
  </si>
  <si>
    <t xml:space="preserve">Repair steam  leak on pressure tap piping. It is located just above valve  </t>
  </si>
  <si>
    <t>-CAP,PIPE - 1" F22 Schedule XXH butt weld pipe cap</t>
  </si>
  <si>
    <t>Repair tube leak located on the right water wall below future sootblower at</t>
  </si>
  <si>
    <t xml:space="preserve">2-BLS-V623 Pressure transmitter isolation line is leaking  and needs to be </t>
  </si>
  <si>
    <t>CIRCUIT BD\~, DT9 RETROFIT UNIT 2 FEEDER</t>
  </si>
  <si>
    <t>2B electromatic PORV vlv 2-MS-RV902B is aligned backwards. DCS indication i</t>
  </si>
  <si>
    <t>TC2-26</t>
  </si>
  <si>
    <t>TC2 Northeast SH Drain pipe has broken off at the body,Please repair.</t>
  </si>
  <si>
    <t>BIT,DRILL,MASONARY,1/4"X 4",CARBIDE TIP</t>
  </si>
  <si>
    <t>Replace Power Chain, Power Cable, and hose on AHSB AH3</t>
  </si>
  <si>
    <t>-905911-0037, Power Link Mounting Bracket Set</t>
  </si>
  <si>
    <t>-8423740471, Connector, Plug, Female, 4COND.RD</t>
  </si>
  <si>
    <t>-9059110036, Power Link Chain</t>
  </si>
  <si>
    <t>-354678A184, 5000PSI, L=184.0",1.26</t>
  </si>
  <si>
    <t>Hydrojet Vlvs Sticking On HJ#1. TS+R</t>
  </si>
  <si>
    <t>-VALVE,PILOT - 9399260059, Pilot Valve W/C, 2/2 Way</t>
  </si>
  <si>
    <t>-KIT,REPAIR - 9399260045, Repair Kit, CO-AX 2/2 Way Valve</t>
  </si>
  <si>
    <t>TC2 boiler FW startup vlv 2-BLS-MOV  502 has a packing leak.</t>
  </si>
  <si>
    <t>TC2 Sootblower IK39 has a packing leak. Please check the packing on all the</t>
  </si>
  <si>
    <t>The 2-TDR-V019 MS turbine drain isolation valve is leaking at the body gask</t>
  </si>
  <si>
    <t>-PIPE,CHROME - 2" P91 9% chrome pipe, sch. XXS</t>
  </si>
  <si>
    <t>TUBING.BLR.SA213 T12.1.75" X 0.28.SUPPLIER MUST FURNISH MILL CERTIFICATION/TEST REPORT.CAGE PANELS</t>
  </si>
  <si>
    <t>Repair tube leak in TC2 boiler at screen tubes.</t>
  </si>
  <si>
    <t>STEEL,ANGLE,1/4"X 2"X 2"X 20'LG,H.R. EID: M0STBSBR</t>
  </si>
  <si>
    <t>TUBING.BLR.SA213 T12.2.24" X 0.31.SUPPLIER MUST FURNISH MILL CERTIFICATION/TEST REPORT.SUPERHEATER</t>
  </si>
  <si>
    <t>TUBING.BLR.SA213 T12.1.75" X 0.26.SUPPLIER MUST FURNISH MILL CERTIFICATION/TEST REPORT.VESTIBULE &amp; A</t>
  </si>
  <si>
    <t>-Payment of Invoice - Aux crew (Pat Brandon) at Trimble (Inv# 500032335)</t>
  </si>
  <si>
    <t>-INV 091214K  9/22/14  Deslag</t>
  </si>
  <si>
    <t>-Payment of Invoice - Emergency aux crew for boiler tube leak at Trimble (Inv# 500032083)</t>
  </si>
  <si>
    <t>-Payment of Invoice - Boiler inspection permit at Trimble (Inv# 500031941)</t>
  </si>
  <si>
    <t>PACKING\~.6 RINGS,18MM X 30MM,2(5000), 4 (6300) SPLIT..</t>
  </si>
  <si>
    <t>Warranty Claim-- 2-SB-CV-051 steam supply valve to the GAH does not allow f</t>
  </si>
  <si>
    <t>VALVE\BALL........HYDROJET.TC2</t>
  </si>
  <si>
    <t>Doosan identified HJ3 to be sticking. Order revised HJ Valve.</t>
  </si>
  <si>
    <t>BIT,DRILL,HIGH SPEED,7/8",1/2" SHANK,JOBBERS LGTH.</t>
  </si>
  <si>
    <t xml:space="preserve">2-BLS-MOV-502(feedwater startup valve) replace packing with correct "spec" </t>
  </si>
  <si>
    <t>TC2 FW bypass  2BLS MOV 501 packing leaking</t>
  </si>
  <si>
    <t>TC2 October 4th, 2014 Economizer area leak outage.</t>
  </si>
  <si>
    <t>-A106 SCH 160 1" SEAMLESS PIPE</t>
  </si>
  <si>
    <t>-FREIGHT ON PO 914672 INV#5629876001</t>
  </si>
  <si>
    <t>FREIGHT ON PO 914672</t>
  </si>
  <si>
    <t>PO 920338</t>
  </si>
  <si>
    <t>TC2 Dec 17th boiler tube leak repair.</t>
  </si>
  <si>
    <t>PO 920786</t>
  </si>
  <si>
    <t>-Payment of Invoice-Base crew labor hours at Trimble (Inv# 500033266) wk ending 12/19/14</t>
  </si>
  <si>
    <t>TC-CBA</t>
  </si>
  <si>
    <t>Combustion Air</t>
  </si>
  <si>
    <t>PM-QUARTERLY- TC2- "A" &amp; "B" FD Fan motors- Replace/ clean motor filters.</t>
  </si>
  <si>
    <t>TC2S12</t>
  </si>
  <si>
    <t>FILTER.OIL.SPIN-ON</t>
  </si>
  <si>
    <t>-Base crew labor hours for 11/25/13 - 12/29/13 at Trimble (inv# 166113)</t>
  </si>
  <si>
    <t>TC2 Air Heater Wash</t>
  </si>
  <si>
    <t>2B MILL SECOND AIR DAMPER CB-CD-426B DAMPER IS BOND UP AND WILL NOT MOVE</t>
  </si>
  <si>
    <t>2C MILL SECOND AIR DAMPER CB-CD-426 C NEEDS TO BE CALIBRATED</t>
  </si>
  <si>
    <t>Replace air heater access door gaskets on 4th landing.</t>
  </si>
  <si>
    <t>2B FD fan blade's are binding. TS/R</t>
  </si>
  <si>
    <t xml:space="preserve">Inspect TC2 Air Heater Baskets   </t>
  </si>
  <si>
    <t>PM-SEMI-ANNUAL - + -  2A + 2B AIR PREHEATER SUPPORT BEARING FILTER CHANGE</t>
  </si>
  <si>
    <t>Open all secondary air windbox doors on TC2 burner elevations to allow insp</t>
  </si>
  <si>
    <t>The 2A + 2B F.D. Fans have several leaks behind the hydrualic cabinets.</t>
  </si>
  <si>
    <t>LIGHTS,BOILER,FOR TRIMBLE COUNTY BOILER INSPECTION</t>
  </si>
  <si>
    <t>Inspect TC2 Air Heaters for damage during weekend outage.</t>
  </si>
  <si>
    <t>TC-CCW</t>
  </si>
  <si>
    <t>BIT,DRILL,HIGH SPEED,11/32",STRAIGHT SHANK,JOBBERS LGTH. 6/PKG.</t>
  </si>
  <si>
    <t>Closed Cooling Water - 002650</t>
  </si>
  <si>
    <t>CLOSED COOLING WATER</t>
  </si>
  <si>
    <t>Remove the closed cooling heat exchanger heads for cleaning</t>
  </si>
  <si>
    <t>PUTTY,STEEL,PLASTIC,5 MIN,1LB CAN</t>
  </si>
  <si>
    <t>GASKET\RETURN CHANNEL</t>
  </si>
  <si>
    <t>TC-CND</t>
  </si>
  <si>
    <t>INTEGRITY TESTING AND INSPECTION INC</t>
  </si>
  <si>
    <t>Condensate - 002650</t>
  </si>
  <si>
    <t>GEN MTC: TURBINE/GENERATOR</t>
  </si>
  <si>
    <t>CONDENSATE SYSTEMS</t>
  </si>
  <si>
    <t>2A HWP dischagre vlv bypass vlv packing is leaking 2-CD-V072</t>
  </si>
  <si>
    <t>2-CD-V009 Condensate recirc control vlv bypass vlv leaking on bottom of fla</t>
  </si>
  <si>
    <t>remove grating and place a ladder for access to the 2A hotwell pump suction</t>
  </si>
  <si>
    <t>The Htr 3 condesate side safety is leaking thru. Please repair.</t>
  </si>
  <si>
    <t>TC2F14</t>
  </si>
  <si>
    <t>Pressure Safety Valve PSV-910 is leaking thru. Before the Condensate Line F</t>
  </si>
  <si>
    <t>SCEPTRE MECHANICAL INC\916313</t>
  </si>
  <si>
    <t>TC2 HTR 3 Tube side relief vlv leaking.</t>
  </si>
  <si>
    <t>-REGULATOR,PRESSURE - Pressure Regulator 1"</t>
  </si>
  <si>
    <t>TC 2A, 2B + 2C Hotwell Pump Suction Strainer - Please clean and inspect</t>
  </si>
  <si>
    <t>GASKET\RUBBER, DOOR, FOR CONDENSATE POLISHER</t>
  </si>
  <si>
    <t>TC-CW-</t>
  </si>
  <si>
    <t>Circulating Water - 002650</t>
  </si>
  <si>
    <t>COOLING TWR/CIRC WATER</t>
  </si>
  <si>
    <t>Pull wiring for additional Condenser waterbox thermocouples.</t>
  </si>
  <si>
    <t>-THERMOCOUPLE, T6EFF182S  18-2C Thermocouple SOL EX FEP duplex shld FEP BRN JKT 105C 600V violet/red  6 spoolsx600'  quote#22735</t>
  </si>
  <si>
    <t>TC-EHC</t>
  </si>
  <si>
    <t>Electro-Hudraulic Control</t>
  </si>
  <si>
    <t>TURBINE-STEAM</t>
  </si>
  <si>
    <t>Please drain TC2 EHC fluid into clean totes adn refill through a 3 micron a</t>
  </si>
  <si>
    <t>HOSE\AIR..W/A4 CLAMPS.1/2" X 25'.300 PSI. AM-1 FITTING CRIMPED ON EACH END</t>
  </si>
  <si>
    <t>NORTHEAST FILTER AND EQUIPMENT COMPANY</t>
  </si>
  <si>
    <t>-Filter Cartridge (3860-16-028-C)</t>
  </si>
  <si>
    <t>GAUGE,0-600PSI,1/2"BOTTOM,4"DIAL, FILLABLE,FIBERGLASS CASE,SS INTERNALS GAUGE BLANKET</t>
  </si>
  <si>
    <t>TS+R 2B EHC pump, pump is pumping to much pressure.</t>
  </si>
  <si>
    <t>ELEMENT, FILTER, EHC, IN LINE HIGH PRESSURE FILTER</t>
  </si>
  <si>
    <t>PUMP.HYDRAULIC FLUID</t>
  </si>
  <si>
    <t>GLOVE\NEOPRENE.18 MILL.13" LONG.CUFF SIZE LARGE</t>
  </si>
  <si>
    <t>Check 2A and 2B EHC coolers for leaks</t>
  </si>
  <si>
    <t>FUNNEL,GALVANIZED, PLEWS, 8 QT CAP</t>
  </si>
  <si>
    <t>VALVE,GATE,SCREW END,1-1/2",150PSI,BRASS V-40, FIG #1150, 150SWP, 300WOG</t>
  </si>
  <si>
    <t>BIT,DRILL,HIGH SPEED,#30,STRAIGHT SHANK,JOBBERS LGTH. VARIOUS JOBS ORDER MULTIPLES OF STD PKG 12</t>
  </si>
  <si>
    <t>BIT,DRILL,HIGH SPEED,5/32",STRAIGHT SHANK,JOBBERS LGTH.,STD. PKG. OF 12</t>
  </si>
  <si>
    <t>FITTING,CHICAGO,FEMALE,3/4"</t>
  </si>
  <si>
    <t>VALVE,BALL,3/8",600 PSI,BRONZE,APOLLO FOR ALL UNITS FREE BIN ITEM - TC</t>
  </si>
  <si>
    <t>DRUM,OPEN HEAD,1A2/Y/1.5/150,DOT 17C,NEW STEEL,W/LOCK RING RETAINER LID &amp; SPONGE GASKET</t>
  </si>
  <si>
    <t>VALVE,GLOBE,SCREW END,1-1/2",150PSI,BRS BRASS,V-41</t>
  </si>
  <si>
    <t>GAUGE,PRESSURE/VACUUM,-30 TO +300 PSI, 1/4" BOTTOM CONN.,2-1/2" DIAL MC &amp; TC: VAR. LOC.</t>
  </si>
  <si>
    <t>Install discharge valves on 2A and 2B EHC pumps.</t>
  </si>
  <si>
    <t>MOTION INDUSTRIES INC\908466</t>
  </si>
  <si>
    <t>-BVH-0750S-2243 3/4 SS Ball Valve</t>
  </si>
  <si>
    <t>-BVHS-1000S-2243 SS 1" Ball Valve</t>
  </si>
  <si>
    <t>-BV3D-1500-SMA-2213-AZZA 3 way Ball Valve</t>
  </si>
  <si>
    <t>FILTER,ASSEMBLY,FOR T.C. TURBINE CONTROL VALVE SERVO STRAINER ISOLATION BLOCK</t>
  </si>
  <si>
    <t>TC2 EHC Flush- Hydrolube **please keep open to pay for rental coolers**</t>
  </si>
  <si>
    <t>VALVE.SOLENOID.TEST AND FIRST ACTING.2-MST-CV-001A</t>
  </si>
  <si>
    <t>FILTER,ELEMENT,SELEXSORB, USED ON TC &amp; MC UNITS 1,2,3 &amp; 4 EHC SYSTEM, FULL EARTH FILTER.</t>
  </si>
  <si>
    <t>PUTTY REPAIR,PIG,FOR REPAIRING DAMAGED DRUMS, (12 PER CASE) TRIMBLE COUNTY STATION, ADHERES TO STEEL</t>
  </si>
  <si>
    <t>FILTER\~, FOR TC2 EHC VALVES</t>
  </si>
  <si>
    <t>VALVE\GLOBE.ISOLATION.1/4"......CAB OFF SECTION,TC CT 7-10</t>
  </si>
  <si>
    <t>CARTRIDGE, ACT ASSM, HYDR FLTR, INLET GUIDE VANES,CHECK IIN 0635094 SAME ITEM.</t>
  </si>
  <si>
    <t>ELEMENT, FILTER, EHC, HILSORB FILTER</t>
  </si>
  <si>
    <t>VALVE,SOLENOID, TC: TURBINE,270T105</t>
  </si>
  <si>
    <t>GAUGE,PRESSURE,0-3000 PSI,1/2" BOTTOM,4" DIAL,GLY FILLED,SS INTERNALS WITH PLASTIC CASE, MC &amp; TC: VA</t>
  </si>
  <si>
    <t>ELEMENT, FILTER, EHC, BACKUP FILTER</t>
  </si>
  <si>
    <t>PUMP.FILTERING EHC</t>
  </si>
  <si>
    <t>ELEMENT, FILTER, EHC, RETURN FILTER</t>
  </si>
  <si>
    <t>PUMP.HEATING COOLING</t>
  </si>
  <si>
    <t>FLUID\HYDRAULIC.FYRQUEL..55 GAL DRUM.TC2 EHC***MUST BE SHIPPED ON PALLETS***</t>
  </si>
  <si>
    <t>HYDRALUBE INC</t>
  </si>
  <si>
    <t>-REPAIR 5 SERVOS - LABOR</t>
  </si>
  <si>
    <t>MECHANICAL DYNAMICS AND ANALYSIS LLC</t>
  </si>
  <si>
    <t>-PERFORM A CHEMICAL FLUSH ON TRIMBLE COUNTY 2 EHC SYSTEM</t>
  </si>
  <si>
    <t>HYDROTECH INC\909888</t>
  </si>
  <si>
    <t>-R900733235, REXROTH SERVO, MODEL 4WS2EM10-5X/90B0T210K31CV-112</t>
  </si>
  <si>
    <t>-LABOR - TO PAY FOR (1) WEEK OF SERVICES FOR TRIMBLE COUNTY STATION - WK. ENDING 7/6/14</t>
  </si>
  <si>
    <t>-LABOR - TO PAY FOR (1) WEEK OF SERVICES FOR SERVICE SHOP TEMP - WK. ENDING 7/13/14</t>
  </si>
  <si>
    <t>-LABOR - TO PAY FOR (1) WEEK OF SERVICES FOR SERVICE SHOP TEMP - WK. ENDING 7/6/14</t>
  </si>
  <si>
    <t>ICL IP AMERICA INC\908191</t>
  </si>
  <si>
    <t>-CONNECTOR - R900057453, CONNECTOR, 12-240V AC/DC, 1/2"NPT, BLACK</t>
  </si>
  <si>
    <t>HPP INDUSTRIAL SALES INC</t>
  </si>
  <si>
    <t>-MINERAL SPIRITS/ODERLESS/55 GAL. DRUM</t>
  </si>
  <si>
    <t>-70164/29-JUL-2014 07:07 LUTL/1</t>
  </si>
  <si>
    <t>WE ENERGIES\878441</t>
  </si>
  <si>
    <t>ICL IP AMERICA INC</t>
  </si>
  <si>
    <t>-Fyrquel 99078</t>
  </si>
  <si>
    <t>-WILKES AND MCLEAN #266027</t>
  </si>
  <si>
    <t>-REPAIR 5 SERVOS, P# R900733235, M# 4WS2EM10-5X/90B0T210K31CV-112</t>
  </si>
  <si>
    <t>-JERAMIE CHOWNING #266027</t>
  </si>
  <si>
    <t>-Fyrquel 220</t>
  </si>
  <si>
    <t>-FYRQUEL 220</t>
  </si>
  <si>
    <t>WE ENERGIES</t>
  </si>
  <si>
    <t>-REXROTH SOLENOID VLV #R900743332</t>
  </si>
  <si>
    <t>MOTION INDUSTRIES INC\908938</t>
  </si>
  <si>
    <t>0641</t>
  </si>
  <si>
    <t>Jones II, Stephen Bauer</t>
  </si>
  <si>
    <t>0642</t>
  </si>
  <si>
    <t>Payne, Nicholas J</t>
  </si>
  <si>
    <t>KING FILTRATION TECHNOLOGIES INC</t>
  </si>
  <si>
    <t>UPS SUPPLY CHAIN SOLUTIONS</t>
  </si>
  <si>
    <t>0670</t>
  </si>
  <si>
    <t>PM-QUARTERLY - + - UNIT 2 EHC SELEXORB FILTER CHANGE</t>
  </si>
  <si>
    <t>BLADES,UTILITY,KNIFE,STANLEY UTILITY KNIFE BLADES,</t>
  </si>
  <si>
    <t>Change inline filters on 2A and 2B EHC pumps.</t>
  </si>
  <si>
    <t>Replace expansion joint (rubber boot) on the 2A + 2B EHC pump suction line.</t>
  </si>
  <si>
    <t>BRANHAM CORP</t>
  </si>
  <si>
    <t>-JOINT,EXPANSION - 3" x 6" Expansion joint garlock style 206 EPDM for EHC system</t>
  </si>
  <si>
    <t>TC-ESP</t>
  </si>
  <si>
    <t>Electrostatic Precipitator</t>
  </si>
  <si>
    <t>PRECIPITATORS</t>
  </si>
  <si>
    <t>-INSPECTION SERVICES, REPAIR RECOMMENDATIONS, AND WRITTEN REPORTS FOR TC2 DRY AND WET ELECTROSTATIC PRECIPITATORS, BAG HOUSE, AND ASSOCIATED DUCKWORK IN ACCORDANCE WITH THE ATTACHED SCOPE OF WORK AND LINE ITEM 002 NOTES BELOW.</t>
  </si>
  <si>
    <t>-INSPECTION SERVICES, REPAIR RECOMMENDATIONS, AND WRITTEN REPORTS FOR TC2 DRY AND WET ELECTROSTATIC PRECIPITATORS, BAG HOUSE, AND ASSOCIATED DUCKWORK IN ACCORDANCE WITH THE ATTACHED SCOPE OF WORK AND LINE ITEM 001 NOTES BELOW.</t>
  </si>
  <si>
    <t>-ADDED SITE VISIT--TC2 WESP INSPECTION, EVALUATION, &amp; REMEDIATION IN ACCORDANCE WITH PCT PROPOSAL DATED 01/24/14 &amp; C/O 01 DATED 02/13/14, INCLUDING BUT NOT LIMITED TO VERBAL &amp; WRITTEN REPORTS WITH RECOMMENDATIONS FOR PERFORMANCE IMPROVEMENT</t>
  </si>
  <si>
    <t>-TC2 WET ELECTROSTATIC PRECIPITATOR (WESP) INSPECTION, EVALUATION, &amp; REMEDIATION IN ACCORDANCE WITH PCT PROPOSAL DATED 01/24/14, INCLUDING BUT NOT LIMITED TO VERBAL &amp; WRITTEN REPORTS W/RECOMMENDATIONS FOR PERFORMANCE IMPROVEMENT.</t>
  </si>
  <si>
    <t>-CONFERENCE CALLS 03/17/14 W/PRECIPITATOR SERVICES GROUP &amp; WHITEHEAD CONSTRUCTION FOR TC2 DRY ESP BID EVALUATIONS.  REF. RFQ 800740 DRY ESP REPAIR SCOPE.</t>
  </si>
  <si>
    <t>ASSEMBLY\STATION POST, WESP</t>
  </si>
  <si>
    <t>Capital -Replace TC2 WESP carbon steel piping with stainless steel piping f</t>
  </si>
  <si>
    <t>8760 SERVICE GROUP</t>
  </si>
  <si>
    <t>-WESP piping mobilization at Trimble (Inv# 1597)</t>
  </si>
  <si>
    <t>-COD SLR WESP piping mobilization at Trimble (Inv# 1597)</t>
  </si>
  <si>
    <t>-Vacuum services at Water Treatment at Trimble (Inv# 52278)</t>
  </si>
  <si>
    <t>-NIPPLE,WELD - 3/4 X 2 304SS S40 WELD NIPPLE</t>
  </si>
  <si>
    <t>-1 X 3 304 SS S40 WELD NIPPLE</t>
  </si>
  <si>
    <t>-NIPPLE,WELD - 1 X 2 304SS S40 WELD NIPPLE</t>
  </si>
  <si>
    <t>-NIPPLE,WELD - 2 X 4 304SS S40 WELD NIPPLE</t>
  </si>
  <si>
    <t>-CAP,WELD - 2 304 SS S40 WELD CAP</t>
  </si>
  <si>
    <t>-2 150 304SS MSS SP-114 THRD UNION IMP</t>
  </si>
  <si>
    <t>-NIPPLE,WELD - 1-1/2 X 6 304SS S40 WELD NIPPLE</t>
  </si>
  <si>
    <t>-FLANGE - 1-1/2 150 304 SS SW FLANGE - IMP</t>
  </si>
  <si>
    <t>-TEE - 2 X 2 X 1-1/2 S40 304SS RED TEE</t>
  </si>
  <si>
    <t>-BUSHING - 3X1 304SS BUSHING THD-IMPORT</t>
  </si>
  <si>
    <t>-UNION - 2 150 304SS UNION THD-IMPORT</t>
  </si>
  <si>
    <t>-NIPPLE,WELD - 2 X 6 304SS S40 WELD NIPPLE</t>
  </si>
  <si>
    <t>-1-1/2 150 RF FS BLIND FLANGE GOLBAL</t>
  </si>
  <si>
    <t>-3 304 SS S40 LR 90 IMP</t>
  </si>
  <si>
    <t>-TEE,WELD - 2 304 SS S40 WELD TEE IMP</t>
  </si>
  <si>
    <t>-REDUCER - 2 X 1/2 304SS S40 CONC REDUCER</t>
  </si>
  <si>
    <t>LAMBERT GLASS CO INC</t>
  </si>
  <si>
    <t>-10' x 10", 1/2" THICK CLEAR LAMINATED GLASS</t>
  </si>
  <si>
    <t>-PIPE - 3 S40 304/304L SS PIPE - IMP</t>
  </si>
  <si>
    <t>-PLUG,PIPE - ZFF 3/8 SOLID PTFE PLUG NPT</t>
  </si>
  <si>
    <t>MACOMB GROUP\902876</t>
  </si>
  <si>
    <t>-NIPPLE,WELD - 1/4 X 6 304SS S40 WELD NIPPLE</t>
  </si>
  <si>
    <t>-2 304 SS S40 WELD TEE IMP</t>
  </si>
  <si>
    <t>-1-1/2 X 2 304SS S40 WELD NIPPLE</t>
  </si>
  <si>
    <t>-SOC-O-LET - 36-21/2 X 3/4 304 SS 3M SOC-O-LET</t>
  </si>
  <si>
    <t>-8 304SS S40 LR 45 ELL</t>
  </si>
  <si>
    <t>-PIPE - 2 S40 304/304L SS PIPE-IMP</t>
  </si>
  <si>
    <t>-Freight for PO# 902900</t>
  </si>
  <si>
    <t>Replace gearbox that PSG brought to the shop.</t>
  </si>
  <si>
    <t>TC2 WESP wash water control vlv leaking at 3/8" piping on side of vlv</t>
  </si>
  <si>
    <t>Add pipe plugs to air vent valves. See Logan Waller for plugs.</t>
  </si>
  <si>
    <t>2 WESP well water discharge flow, 2QWPFT200.COMMON@TC0 shows bad signal. Di</t>
  </si>
  <si>
    <t>-TRANSMITTER,FLOW - 880003051, FLOW TRANSMITTER</t>
  </si>
  <si>
    <t>-ELEMENT,FLOW - UM06-08 ULTRA MAG, FLOW ELEMENT FOR MCCROMETER</t>
  </si>
  <si>
    <t>Replace butterlfy valve for WESP inlet nozzle wash.</t>
  </si>
  <si>
    <t>TC-FACAS</t>
  </si>
  <si>
    <t>TC FLYASH CAS</t>
  </si>
  <si>
    <t>GEN FH: FUEL HANDLING</t>
  </si>
  <si>
    <t>FUEL BY-PRODUCTS</t>
  </si>
  <si>
    <t>BATTERY\ALKALINE.SIZE D.1.5 V.</t>
  </si>
  <si>
    <t>SQUEEGEES,CURVED REGULAR 24",BLACK SOCKET,RED FRAME</t>
  </si>
  <si>
    <t>-LABOR- For Atlas Copco Service Tech. "A" FLY ASH COMPRESSOR</t>
  </si>
  <si>
    <t>ATLAS COPCO COMPRESSORS LLC\892475</t>
  </si>
  <si>
    <t>-MATERIALS - For Atlas Copco Service Tech. "A" FLY ASH COMPRESSOR</t>
  </si>
  <si>
    <t>TC-FG-</t>
  </si>
  <si>
    <t>Flue Gas - 002650</t>
  </si>
  <si>
    <t>BOILER DRAFT SYSTEMS</t>
  </si>
  <si>
    <t>Repair brakes on 2A and 2B ID fans.</t>
  </si>
  <si>
    <t>TC2S13</t>
  </si>
  <si>
    <t>-491-0002-801 Brake Pad Set; Sinter MD550; Svendborg Brake</t>
  </si>
  <si>
    <t>GEORGIA WESTERN INC\895721</t>
  </si>
  <si>
    <t>2A ID Fan outlet damper MOV keeps tripping out when operated. TS+R.</t>
  </si>
  <si>
    <t>-Limitorque motor P/N-B-M70-2J9-539604602</t>
  </si>
  <si>
    <t>Inspect all duct work during outage.</t>
  </si>
  <si>
    <t>Check calibration of the TC2 SH and RH biasing dampers</t>
  </si>
  <si>
    <t>The 2B ID Fan motor rotor had 1/4" to 3/8" of axial movement when operating</t>
  </si>
  <si>
    <t>-FD Fan rotating oil seal PN# 2226470; new style; R015-120-025</t>
  </si>
  <si>
    <t>TC-FW-</t>
  </si>
  <si>
    <t>MODULE\I/O.PROX\VELOM W/EXTERNAL TERM</t>
  </si>
  <si>
    <t>Feed Water</t>
  </si>
  <si>
    <t>FEEDWATER SYSTEMS</t>
  </si>
  <si>
    <t>Alarm Management, 2 MDBFP Vibration System Healthy alarming in. TS+R May wa</t>
  </si>
  <si>
    <t>TC2-22</t>
  </si>
  <si>
    <t>SENSOR\PROXIMITOR.5MM/8MM PROBE W/9M CABLE.3300XL.DIN MOUNT</t>
  </si>
  <si>
    <t>MODULE.KEYPHASOR.ENHANCED KEYPHASOR</t>
  </si>
  <si>
    <t>HOUSING\PROXIMITER.WEATHER RESISTANT LOCKABLE.TYPE 4X.SERIES 3300 XL.9-1/2" X 13" X 8"</t>
  </si>
  <si>
    <t>SENSOR\PROXIMITOR.25MM W/9M CABLE.DIN MOUNT</t>
  </si>
  <si>
    <t>CABLE.PROXIMITOR.....3300XL 25MM</t>
  </si>
  <si>
    <t>PROBE\VIBRATION..4" 11MM W/1M CABLE..</t>
  </si>
  <si>
    <t>PROBE\VIBRATION..3/8-24 ARM..</t>
  </si>
  <si>
    <t>PROBE\VIBRATION..3/8" X 4" / 24 UNF..W/1M CABLE</t>
  </si>
  <si>
    <t>PROBE\REVERSE MOUNT.3300.8MM</t>
  </si>
  <si>
    <t>LUFKIN INDUSTRIES INC</t>
  </si>
  <si>
    <t>-LABOR - Provide Technician to inspect the Unit 2 TDBFP Booster Pump gear reducers</t>
  </si>
  <si>
    <t>Perform inspection of the 2A Booster Pump gear reducer</t>
  </si>
  <si>
    <t>Perform inspection of the 2B Booster Pump gear reducer</t>
  </si>
  <si>
    <t>SOCK,SPRAY,PAINT (MULTIPLES OF 12)</t>
  </si>
  <si>
    <t>unit 2 BFP's closed cooling flow indicators dont turn and/or have fallen of</t>
  </si>
  <si>
    <t>SCEPTRE MECHANICAL INC\899952</t>
  </si>
  <si>
    <t>-GASKET - Style R Gasket for Velan By-pass Valve (1000056833)</t>
  </si>
  <si>
    <t>-Packing for Velan By-pass Valve (1000148423)</t>
  </si>
  <si>
    <t>SCEPTRE MECHANICAL INC\900285</t>
  </si>
  <si>
    <t>2B TDBFP Recirc valve is leaking through. TS/R    Located on unit 2 6th lan</t>
  </si>
  <si>
    <t>-ASSEMBLY,SEAL - V326959, SEAL ASSY (VARISEAL AND GASKET);</t>
  </si>
  <si>
    <t>2A TDBFP Bently Rack TDI card keeps resetting causing alarm to Operators.</t>
  </si>
  <si>
    <t>PROX/SEIS PWA, 3500/40, REMOTE VIBRATION MONITOR</t>
  </si>
  <si>
    <t>MODULE.TRANSIENT DATA INTERFACE.STANDARD TDI</t>
  </si>
  <si>
    <t>BENTLY NEVADA INC</t>
  </si>
  <si>
    <t>-POWER SUPPLY - 3500/15 3500 rack power supply part#127610-01 and 125840-02 ac power supply module and low voltage AC PIM</t>
  </si>
  <si>
    <t>2-ES-MOV-615 Feedwater heater extraction valve has the packing blown out on</t>
  </si>
  <si>
    <t>The Auqua Ammonia injection quil to 2A TDBFP is leaking. Please repair.</t>
  </si>
  <si>
    <t>TC-GA-</t>
  </si>
  <si>
    <t>Generator and Auxiliaries</t>
  </si>
  <si>
    <t>GENERATOR</t>
  </si>
  <si>
    <t>Replace the Hydrogen supply vlv#003, the vlv is leaking through and will no</t>
  </si>
  <si>
    <t>Replace stator cooling filter housing lid o-ring</t>
  </si>
  <si>
    <t>Install gauges on ISO phase bus duct. See Nick Payne</t>
  </si>
  <si>
    <t>CLAMP,BEAM,5"LONG,STEEL</t>
  </si>
  <si>
    <t>OBSOLETE****ELL,MALE,90DEG,3/8"OD X 1/2"P-NPT,SS FREE BIN ITEM - TC</t>
  </si>
  <si>
    <t>POWELL ELECTRICAL SYS INC DELTA UNIBUS DIV</t>
  </si>
  <si>
    <t>-GUAGE,PRESSURE - 63832x35, Pressure Gauge Assembly</t>
  </si>
  <si>
    <t>PM-QUARTERLY - + - 2A STATOR COOLING PUMP OIL CHANGE EVERY 3 MONTHS</t>
  </si>
  <si>
    <t>PM-QUARTERLY - + - 2B STATOR COOLING PUMP OIL CHANGE EVERY 3 MONTHS</t>
  </si>
  <si>
    <t>TCHLSYS</t>
  </si>
  <si>
    <t>-Meiners invoice 3895 to investigate manhole</t>
  </si>
  <si>
    <t>SO3 Hydrated Lime System</t>
  </si>
  <si>
    <t>SO3 MITIGATION</t>
  </si>
  <si>
    <t>Work Order to cover Project Engineering work for DSI on TC 2</t>
  </si>
  <si>
    <t>TCHYPCTWR</t>
  </si>
  <si>
    <t>-Payment of Invoice - Base crew labor hours at Trimble (Inv# 500031215) Wk ending 7/4/14</t>
  </si>
  <si>
    <t>TC2 Hyperbolic Cooling Tower</t>
  </si>
  <si>
    <t>TC2 cooling tower has broken header and several spray nozzles missing.  Ple</t>
  </si>
  <si>
    <t>GAUGE,0-200PSI,1/2"BOTTOM,4-1/2"DIAL, SS,FILLED GAUGE</t>
  </si>
  <si>
    <t>2A and 2B cooling tower seal water pressure guages are not reading correctl</t>
  </si>
  <si>
    <t>The 2A cooling tower pump shaft sleeve needs replaced.</t>
  </si>
  <si>
    <t>Replace the Cooling Tower Make-up Valve</t>
  </si>
  <si>
    <t>HENRY PRATT COMPANY LLC</t>
  </si>
  <si>
    <t>-30' Flange 250B Plain Stem Butterfly Valve</t>
  </si>
  <si>
    <t>TC-PAC</t>
  </si>
  <si>
    <t>PAC System Maint.</t>
  </si>
  <si>
    <t>BAG HOUSE</t>
  </si>
  <si>
    <t xml:space="preserve">PAC injection port isolation valve:  Isolation valve 2-ACA-V-340A needs to </t>
  </si>
  <si>
    <t>-Apollo Ball Valve 1.5</t>
  </si>
  <si>
    <t>TC-PFC</t>
  </si>
  <si>
    <t>Primary Fuel Combust - 002650</t>
  </si>
  <si>
    <t>PRIMARY FUEL COMBUSTION</t>
  </si>
  <si>
    <t>Investigare plugged sensing line on 2CBPT328A</t>
  </si>
  <si>
    <t>STOCK EQUIPMENT CO INC</t>
  </si>
  <si>
    <t>-Shaft and Pinion 36"</t>
  </si>
  <si>
    <t>PDM - Check shaft runout on the Outboard Fan Bearing</t>
  </si>
  <si>
    <t>-LABOR - TO PAY FOR (1) WEEK OF SERVICES FOR TRIMBLE COUNTY - WK. ENDING 3/2/14</t>
  </si>
  <si>
    <t>GASKET, RUBBER,2.75 X 1.87 X .687THK, FEEDER TAKE UP SCREW</t>
  </si>
  <si>
    <t xml:space="preserve">The 2A + 2C coal feeder bearings need replaced. The weigh span roller also </t>
  </si>
  <si>
    <t>BELT,ACCUFLEX,258",COAL FEEDER</t>
  </si>
  <si>
    <t>-LABOR - For Field Service Work  5-6-14</t>
  </si>
  <si>
    <t>Empty unit #2 coal silos</t>
  </si>
  <si>
    <t>-Payment of Invoice - Aux crew labor hours at Trimble (Inv# 500031211) Wk ending 7/4/14</t>
  </si>
  <si>
    <t>IKT LLC</t>
  </si>
  <si>
    <t>-LABOR - EMPTY UNIT 2 COAL SILOS</t>
  </si>
  <si>
    <t>GENERAL RUBBER &amp; PLASTICS</t>
  </si>
  <si>
    <t>-COAL FEEDER BELT 258"</t>
  </si>
  <si>
    <t>KIT.REBUILD.APOLLO.VALVE 1"</t>
  </si>
  <si>
    <t>unit 2 burners B-2 and E-4 purge air valves are leaking through.</t>
  </si>
  <si>
    <t>TC-PFCPUL</t>
  </si>
  <si>
    <t>KIT\FASTENER.COUPLING,TC2 PULVERIZER</t>
  </si>
  <si>
    <t>Coal Mills - 002650</t>
  </si>
  <si>
    <t>Make repairs to TC2 Pulverizers per Alstom TA's report.</t>
  </si>
  <si>
    <t>-Professional services at Trimble (Inv# 500029560)</t>
  </si>
  <si>
    <t>-Base crew labor at Trimble (Inv# 500029971) wk ending 4/4/14</t>
  </si>
  <si>
    <t>-Third party rental for base crew at Trimble (Inv# 500029686)</t>
  </si>
  <si>
    <t>PM-SEMI-ANNUAL - + -  2B PULVERIZER INSPECTION AND JOURNAL OIL LEVEL CHECK</t>
  </si>
  <si>
    <t>-Base crew labor hours at Trimble (Inv# 500029365)</t>
  </si>
  <si>
    <t>-Base crew labor hours at Trimble (Inv# 500029564) wk ending 3/7/14</t>
  </si>
  <si>
    <t>-Base crew labor hours at Trimble (Inv# 500029671) wk ending 3/14/14</t>
  </si>
  <si>
    <t>GLOVES\WORK..XL, NINJA ICE</t>
  </si>
  <si>
    <t>PM-SEMI-ANNUAL - + -  2C PULVERIZER INSPECTION AND JOURNAL OIL LEVEL CHECK</t>
  </si>
  <si>
    <t>GLOVES\WORK..LG, NINJA ICE</t>
  </si>
  <si>
    <t>-Base crew labor hours at Trimble (Inv# 500029489)</t>
  </si>
  <si>
    <t>FILE,FLAT,BASTARD,8" 12/BOX</t>
  </si>
  <si>
    <t>PM-SEMI-ANNUAL - + -  2A PULVERIZER INSPECTION AND JOURNAL OIL LEVEL CHECK</t>
  </si>
  <si>
    <t>TAP,HAND,BOTTOM,3/4-10,HIGH SPEED, GROUND THREAD</t>
  </si>
  <si>
    <t>PIN\~SCRAPER, TC2 COAL MILL</t>
  </si>
  <si>
    <t>PLATE\WEAR, SCRAPER, TC2 COAL MILL</t>
  </si>
  <si>
    <t>SCRAPER\COAL MILL, TC2 COAL MILL</t>
  </si>
  <si>
    <t>PM-SEMI-ANNUAL - + -  2E PULVERIZER INSPECTION AND JOURNAL OIL LEVEL CHECK</t>
  </si>
  <si>
    <t>Weld overlay TC2 A, B, C, D, and E coal mill grind floors and rolls.</t>
  </si>
  <si>
    <t>FILE,ROUND,BASTARD,10" 12/BOX</t>
  </si>
  <si>
    <t>TAPE,GLASS,GT-66</t>
  </si>
  <si>
    <t>RAINWEAR,JACKET &amp; PANTS, GENERAL PURPOSE, SIZE LARGE, ORANGE,</t>
  </si>
  <si>
    <t>RAINWEAR\SUIT-T:GENERAL PURPOSE:XX-LARGE:JACKET AND PANTS</t>
  </si>
  <si>
    <t>COMPOUND KIT,WEARING,NORDBAK/LOCTITE, (PAIL=CONSISTS OF 2 CANS COMP/1 TROWEL</t>
  </si>
  <si>
    <t>PO901069Chromalloy weld overlay 5 TC2 pulverizer grind floors and rolls</t>
  </si>
  <si>
    <t>-Aux crew at Trimble (Inv# 500029667)  wk ending 3/14/14</t>
  </si>
  <si>
    <t>-Aux crew at Trimble (inv# 500029788) wk ending 3/28/14</t>
  </si>
  <si>
    <t>-Aux maintenance crew for support labor at Trimble (Inv 500029967)</t>
  </si>
  <si>
    <t>-Aux crew for maintenance support at Trimble (Inv# 500030026)</t>
  </si>
  <si>
    <t>-Aux crew at Trimble (Inv# 500029728) 3/21/14</t>
  </si>
  <si>
    <t>CONSOLIDATED METAL SERVICES INC</t>
  </si>
  <si>
    <t>-Chromalloy weld overlay 5 TC2 pulverizer grind floors and rolls</t>
  </si>
  <si>
    <t>-Mechanical maintenance services at Trimble (Inv# 500030382) wage correction</t>
  </si>
  <si>
    <t>-Aux crew for 4/25/14 (Inv# 500030366) at Trimble</t>
  </si>
  <si>
    <t>-Aux crew at Trimble (Inv# 500030448) wk ending 5/9/14</t>
  </si>
  <si>
    <t>-Aux crew at Trimble (Inv# 500030164) wk ending 4/18/14</t>
  </si>
  <si>
    <t>-Payment of Invoice - Aux crew labor at Trimble (Inv# 500030319) wk ending 5/2/14</t>
  </si>
  <si>
    <t>-Aux crew at Trimble (Inv# 500030607) wk ending 5/23/14</t>
  </si>
  <si>
    <t>-Aux crew at Trimble (Inv# 500030767)</t>
  </si>
  <si>
    <t>-Payment of Invoice - Aux crew at Trimble (Inv# 500030950) 6/13/14</t>
  </si>
  <si>
    <t>-Payment of Invoice - Aux crew labor wk ending 6/6/14 at Trimble (Inv# 500030826)</t>
  </si>
  <si>
    <t>-Aux crew at Trimble (Inv# 500030520) on 5/16/14</t>
  </si>
  <si>
    <t>-Payment of Invoice - Aux crew labor hours at Trimble (Inv# 500031207) Wk ending 6/27/14</t>
  </si>
  <si>
    <t>-Payment of Invoice - Aux crew labor hours at Trimble (Inv# 500031035) wk ending 6/20/14</t>
  </si>
  <si>
    <t>-Vacuum around TC2 coal mills (Inv# 52284)</t>
  </si>
  <si>
    <t>-Payment of Invoice - for third party for Base crew labor hours at Trimble (Inv# 500030363) wk ending 4/30/14</t>
  </si>
  <si>
    <t>-Base crew labor hours at Trimble (Inv# 500029732) wk ending 3/21/14</t>
  </si>
  <si>
    <t>-Base crew labor hours at Trimble (Inv# 500029792) for wk ending 3/28/14</t>
  </si>
  <si>
    <t>Overhaul the 2D Coal Mill</t>
  </si>
  <si>
    <t xml:space="preserve">Pull and inspect motor bearings on the 2D Coal Mill Classifier motor. Also </t>
  </si>
  <si>
    <t>-BEARING, 132115-000 motor bearing  quote#KY67-164345</t>
  </si>
  <si>
    <t>-US Motor 60hp, 1800rpm, 365tc frame, 230/460 volts, 3 phase, type CEF</t>
  </si>
  <si>
    <t>-Professional services by John Ferrell at Trimble (Inv# 500029509)</t>
  </si>
  <si>
    <t>PM-SEMI-ANNUAL - + -  2F PULVERIZER INSPECTION AND JOURNAL OIL LEVEL CHECK</t>
  </si>
  <si>
    <t>-Base crew labor hours at Trimble (Inv# 500029275) wk ending 2/14/14</t>
  </si>
  <si>
    <t>PM-ANNUAL - + - 2F DYNAMIC CLASSIFIER GEARBOX OIL CHANGE</t>
  </si>
  <si>
    <t>PM-OUTAGE-SEMI-ANNUAL - + - 2F PULVERIZER CLASSIFIER INSPECTION</t>
  </si>
  <si>
    <t>PM-ANNUAL - + -  2A DYNAMIC CLASSIFIER GEARBOX OIL CHANGE</t>
  </si>
  <si>
    <t>PM-ANNUAL - + -  2B DYNAMIC CLASSIFIER GEARBOX OIL CHANGE</t>
  </si>
  <si>
    <t>PM-ANNUAL - + - 2C DYNAMIC CLASSIFIER GEARBOX OIL CHANGE</t>
  </si>
  <si>
    <t>-Base crew labor hours at Trimble (Inv# 500029179) wk ending 2/7/14</t>
  </si>
  <si>
    <t>PM-ANNUAL - + - 2D DYNAMIC CLASSIFIER GEARBOX OIL CHANGE</t>
  </si>
  <si>
    <t>PM-OUTAGE-SEMI-ANNUAL - + - 2A PULVERIZER CLASSIFIER INSPECTION</t>
  </si>
  <si>
    <t>PM-OUTAGE-SEMI-ANNUAL - + - 2B PULVERIZER CLASSIFIER INSPECTION</t>
  </si>
  <si>
    <t>PM-OUTAGE-SEMI-ANNUAL-PM- 2E PULVERIZER CLASSIFIER INSPECTION</t>
  </si>
  <si>
    <t>Alignments need to be done on all the TC2 mill motors</t>
  </si>
  <si>
    <t>Unit 2 B Coal Mill 500 Damper Chain Guide bent out of place, preventing dam</t>
  </si>
  <si>
    <t>-Payment of Invoice - Base crew labor hours at Trimble (Inv# 500031507) wk ending 7/25/14</t>
  </si>
  <si>
    <t>Open doors on unit #2 coal mills for Thompson to vacuum out mills and close</t>
  </si>
  <si>
    <t>TC-PJF</t>
  </si>
  <si>
    <t>Pulse Jet Fabric Filter</t>
  </si>
  <si>
    <t>Need to pull a few bags from the TC2 Baghouse. See Haley Turner</t>
  </si>
  <si>
    <t>Inlet damper 304A at baghouse will not travel open.</t>
  </si>
  <si>
    <t>TC-SCR</t>
  </si>
  <si>
    <t>E ON NEW BUILD AND TECHNOLOGY GMBH</t>
  </si>
  <si>
    <t>-TESTING SERVICES, CATALYST:  TC UNIT #2 SCR SAMPLES FROM ALL THREE LAYERS.  PROVIDE WRITTEN TEST REPORT IN ACCORDANCE WITH AMENDED CONTRACT #855945.</t>
  </si>
  <si>
    <t>SCR Maint / Oper</t>
  </si>
  <si>
    <t>SCR</t>
  </si>
  <si>
    <t>TC2 SCR Catalyst Sampling</t>
  </si>
  <si>
    <t>-TESTING SERVICES, CATALYST:  TC UNIT #2 SCR SAMPLES FROM ALL THREE LAYERS.  PROVIDE WRITTEN TEST REPORT IN ACCORDANCE WITH AMENDED CONTRACT #855945.  (Ref.  PO Notes).</t>
  </si>
  <si>
    <t>TC2 SCR Industrial Clean Catalyst Layers</t>
  </si>
  <si>
    <t>TC2 SCR Tuning Following Layer Changeout</t>
  </si>
  <si>
    <t>Replace the ammonia relief valves that are the 5 year throw away valves</t>
  </si>
  <si>
    <t>-VALVE,BALL - 1/2" Jamesbury Ball Valve (9FB3600XTB)</t>
  </si>
  <si>
    <t>-VALVE - 1" Corken Valve (B166-1)</t>
  </si>
  <si>
    <t>DEALERS LP EQUIPMENT CO INC\901463</t>
  </si>
  <si>
    <t>DEALERS LP EQUIPMENT CO INC</t>
  </si>
  <si>
    <t>Fix leak on pump drain and replace the corken valve that is leaking</t>
  </si>
  <si>
    <t>INDUSTRIAL GAS TECHNOLOGY INC</t>
  </si>
  <si>
    <t>-3/4" Corken Bypass Valve</t>
  </si>
  <si>
    <t>Open one door on each reactor of the TC2 SCR top layer, landing 10</t>
  </si>
  <si>
    <t>TC-SDR</t>
  </si>
  <si>
    <t>NUT,SPRING,1/4",RS,PS,EG FINISH REGULAR SPRING, MC: VAR. LOC., TC &amp; CR: FREE BIN ITEM</t>
  </si>
  <si>
    <t>SDRS - 002650</t>
  </si>
  <si>
    <t>FGDS</t>
  </si>
  <si>
    <t>DBA system conversion to Nalco system</t>
  </si>
  <si>
    <t xml:space="preserve">CLAMP,CONDUIT,1-1/4",STANDARD,GALVANIZED W/SLOTTED HEX HEAD SCREW INCLUDED,PS- 1100,50 PER BOX FREE </t>
  </si>
  <si>
    <t>CONDUIT,ALUMINUM,1/2",10' SECTIONS ASSOCIATED PARTS AS FOLLOWS; .....IIN 1183978,CONDUIT BODY,TYPE L</t>
  </si>
  <si>
    <t>UNION,FEMALE,1-1/4"AL.,EXPL-PRF CARTON = 4</t>
  </si>
  <si>
    <t>HUB,CONDUIT,SCRU-TITE,1-1/4",WP</t>
  </si>
  <si>
    <t>CONDUIT,ALUMINUM,1" X 10',RIDGET</t>
  </si>
  <si>
    <t>CONDUIT,1 1/4" X 10' LONG,ALUMINUM</t>
  </si>
  <si>
    <t>CONSOLIDATED ELECTRICAL DISTRIBUTORS INC</t>
  </si>
  <si>
    <t>-BREAKER - CH BAB1030, 30A 1P CKT BRKR</t>
  </si>
  <si>
    <t>-BREAKER - CH BAB1015, 15A 1P CKT BRKR</t>
  </si>
  <si>
    <t>-ASSEMBLY,HOSE,METAL - Metal Hose Assembly 3/4" x 75'</t>
  </si>
  <si>
    <t>-ASSEMBLY,HOSE,METAL - Metal Hose Assembly 3/4" x 100'</t>
  </si>
  <si>
    <t>-22805/0026721IN/1</t>
  </si>
  <si>
    <t>-BREAKER - CH BAB2030 30A 2P CKT BRKR</t>
  </si>
  <si>
    <t>-6" Swivel Casters</t>
  </si>
  <si>
    <t>DON JOHNS INC</t>
  </si>
  <si>
    <t>-VALVE,SOLENOID - 00456866, BURKERT 5281 SERIES SOLENOID VALVE, 1/2" NPT, 2 WAY-NC, 120 VAC. 60</t>
  </si>
  <si>
    <t>-Pipe 1/2" 316ss</t>
  </si>
  <si>
    <t>-1-1/2" Ball Valve</t>
  </si>
  <si>
    <t>TRIVACO\901135</t>
  </si>
  <si>
    <t>-WF10-005-F  Connection Cable 5 meters</t>
  </si>
  <si>
    <t>-PH97-07/ORP ORP Combination Electrode for PH87 retractable pH assembly with 7" insertion lenght, includes cable for connection to J-box at back end of assembly</t>
  </si>
  <si>
    <t>-PH87-07/B Retractable PH assembly Titanium Retractable pH assembly with junction box,7 inch insertion length(beyond ball valve),1 1/4 inch 316 SS ball valve</t>
  </si>
  <si>
    <t>-FLXA21-D-E-D-AA-P1-P1-A-N-LA-N-NN/UM FLXA21 PH/ORP Transmitter,2-wire,w/4-20mA output,Hart Protocol,dual sensor input, universal mounting</t>
  </si>
  <si>
    <t>-MATERIAL - 12" back up ring</t>
  </si>
  <si>
    <t>-MATERIAL - 12" SDR 17 IPS flange adapter</t>
  </si>
  <si>
    <t>R AND P INDUSTRIAL CHIMNEY CO INC</t>
  </si>
  <si>
    <t>TC2 Stack Inspection Spring 2014. And repairs.</t>
  </si>
  <si>
    <t>-TC2 INTERIOR AND AIR SPACE INSPECTION ON BOTH FLUES (LINERS 2A AND 2B), INCLUDING WRITTEN REPORT</t>
  </si>
  <si>
    <t>-LABOR/MATERIAL - Unit 2 FRP liner repairs  PRO-1176RP.14</t>
  </si>
  <si>
    <t>Change oil in all the TC2 recycle pump</t>
  </si>
  <si>
    <t>Unit 2 Oxidation air header on 2nd landing, the 2nd line from the east is l</t>
  </si>
  <si>
    <t>SEAL.EPDM.10'' KDG.FOR CLARKSON VALVES</t>
  </si>
  <si>
    <t>TC2 absorber bleed shutoff valve CV-420 is leaking.</t>
  </si>
  <si>
    <t>SLEEVES.RUBBER.GUM.10'' KGD.FOR CLARKSON VALVES</t>
  </si>
  <si>
    <t>-Payment of invoice - maintenance support labor at Trimble (Inv# AME34728) 10/1/14 - 10/31/14</t>
  </si>
  <si>
    <t>2a Recycle Pump Gearbox - Replace bearings on the input shaft and reset inp</t>
  </si>
  <si>
    <t>KIT.SHIM.&amp;GASKET.INCLUDES.10,15&amp;19.FOR FALK.GEAR REDUCER.465A1</t>
  </si>
  <si>
    <t>TC-SDRCEM</t>
  </si>
  <si>
    <t>CEMS Systems</t>
  </si>
  <si>
    <t>EMISSION MONITORING</t>
  </si>
  <si>
    <t>Work with SICK Maihak to resolve TC2's Parituclate Montitors issue of</t>
  </si>
  <si>
    <t>-LABOR - Pulled cable in stack - Invoice 4075</t>
  </si>
  <si>
    <t>HOUSTON WIRE &amp; CABLE COMPANY</t>
  </si>
  <si>
    <t>-WIRE - #18 6pr SP/OS EPR/CPE cable 2 reels 1x500 and 1x600</t>
  </si>
  <si>
    <t>-BR120, 20A 1-pole breaker</t>
  </si>
  <si>
    <t>-BR350, 30A 3-pole breaker</t>
  </si>
  <si>
    <t>-100Amp, 3BR3030100, loadcenter</t>
  </si>
  <si>
    <t>-ET2H30S, 30KVA 480D X 120/208Y transformer</t>
  </si>
  <si>
    <t>-BREAKER - EDB34040, breaker, sq D 40Amp</t>
  </si>
  <si>
    <t>-KIT,BREAKER - CC3100N, 100Amp CC main Breaker kit for Conertible loadcenter</t>
  </si>
  <si>
    <t>TC-TA-</t>
  </si>
  <si>
    <t>GENERAL ELECTRIC CO</t>
  </si>
  <si>
    <t>Turbine and Auxiliaries</t>
  </si>
  <si>
    <t>When TC2 came offline the turning gear did not engage.  When we investigate</t>
  </si>
  <si>
    <t>PO made to wrong vendor</t>
  </si>
  <si>
    <t>GE INTERNATIONAL INC</t>
  </si>
  <si>
    <t>TC2 Turbine/ Generator- #11 bearing. It appears that the right side horizon</t>
  </si>
  <si>
    <t>Noonan, Kenny R</t>
  </si>
  <si>
    <t>2A (East) Turbine Oil Cooler should be pulled and sent off site to be clean</t>
  </si>
  <si>
    <t>-Packing AP 5000 3/16 (1000010573)</t>
  </si>
  <si>
    <t>-PACKING - Garock 3200 (1000148215)</t>
  </si>
  <si>
    <t>-Gasket 1-1/2" (110150311244)</t>
  </si>
  <si>
    <t>-Gasket 1-1/4" (110125311244</t>
  </si>
  <si>
    <t>-GASKET - Ammonia Gasket (1000147142)</t>
  </si>
  <si>
    <t>-GASKET - Ammonia Pump Gasket (002500322241)</t>
  </si>
  <si>
    <t>-GASKET - Ring Manhole Gasket (1000148217)</t>
  </si>
  <si>
    <t>-GASKET - Ring for Nozzle N1 + N2 Gasket (1000148216)</t>
  </si>
  <si>
    <t>-Gasket 2-1/2" (110250311244)</t>
  </si>
  <si>
    <t>-Gasket 10" 300#</t>
  </si>
  <si>
    <t>-3/4" x 3/4" sq buna stock</t>
  </si>
  <si>
    <t>-Gaskets 8" 300# (110800311242)</t>
  </si>
  <si>
    <t>-STRAINER, Y-STYLE - Ammonia Pump Y-strainer (1000147147)</t>
  </si>
  <si>
    <t>-CLR (1000148219)</t>
  </si>
  <si>
    <t>-Gasket Material Orange (1000011139)</t>
  </si>
  <si>
    <t>-Graphite Sheet AP 6500 (1000011214)</t>
  </si>
  <si>
    <t>-Ring AP 325 (1000148218)</t>
  </si>
  <si>
    <t>PO901298LABOR - UT inspection on the L-0 pins for TC2.</t>
  </si>
  <si>
    <t>TC2 last stage turbine bucket (L-0) Inspection.</t>
  </si>
  <si>
    <t>-LABOR - UT inspection on the L-0 pins for TC2.</t>
  </si>
  <si>
    <t>-PAD - CGW-36287 HAND PAD- MAROON 6" X 9"</t>
  </si>
  <si>
    <t>FILTER.COALESCER.CARTRIDGE.FOR TURBINE OIL PURIFIER</t>
  </si>
  <si>
    <t>PM-ANNUAL - + - TURBINE LUBE OIL PURIFIER FILTER CHANGE</t>
  </si>
  <si>
    <t>NORTHEAST FILTER AND EQUIPMENT COMPANY\900261</t>
  </si>
  <si>
    <t>-FILTER,Anti-static Filters (PH739-03-CGJ)</t>
  </si>
  <si>
    <t>Check TC2 Mark VI connections in control cabinet</t>
  </si>
  <si>
    <t>SEALANT,SILICONE,CLEAR TUBE: FOR CAULK GUN MC-FLYASH TRANSFER SYSTEM, UNITS 1,2,3,4</t>
  </si>
  <si>
    <t>Filter Manifold filter selector is broken.</t>
  </si>
  <si>
    <t>HYDRALUBE INC\909305</t>
  </si>
  <si>
    <t>PM-OUTAGE- ANNUAL - + - TURBINE VAPOR EXTRACTOR CHANGE FILTER</t>
  </si>
  <si>
    <t>Check deviation between demand and feedback on 2-GS-CV-101. See Nick Payne.</t>
  </si>
  <si>
    <t>CORNERSTONE CONTROLS INC</t>
  </si>
  <si>
    <t>-4200 SS</t>
  </si>
  <si>
    <t>TC2 A turbine control vqave has drifted to 95% TS+R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</si>
</sst>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49" fontId="0" fillId="0" borderId="0" xfId="0" applyNumberFormat="1" applyAlignment="1">
      <alignment/>
    </xf>
    <xf numFmtId="0" fontId="33" fillId="33" borderId="0" xfId="0" applyFont="1" applyFill="1" applyAlignment="1">
      <alignment/>
    </xf>
    <xf numFmtId="44" fontId="33" fillId="33" borderId="0" xfId="0" applyNumberFormat="1" applyFont="1" applyFill="1" applyAlignment="1">
      <alignment/>
    </xf>
    <xf numFmtId="0" fontId="0" fillId="0" borderId="0" xfId="0" applyAlignment="1">
      <alignment horizontal="center"/>
    </xf>
    <xf numFmtId="0" fontId="33" fillId="33" borderId="0" xfId="0" applyFont="1" applyFill="1" applyAlignment="1">
      <alignment horizontal="center"/>
    </xf>
    <xf numFmtId="44" fontId="33" fillId="33" borderId="0" xfId="0" applyNumberFormat="1" applyFont="1" applyFill="1" applyAlignment="1">
      <alignment horizontal="center"/>
    </xf>
    <xf numFmtId="0" fontId="33" fillId="0" borderId="0" xfId="0" applyFont="1" applyFill="1" applyAlignment="1">
      <alignment horizontal="center"/>
    </xf>
    <xf numFmtId="0" fontId="33" fillId="0" borderId="0" xfId="0" applyFont="1" applyFill="1" applyAlignment="1">
      <alignment/>
    </xf>
    <xf numFmtId="44" fontId="33" fillId="0" borderId="0" xfId="0" applyNumberFormat="1" applyFont="1" applyFill="1" applyAlignment="1">
      <alignment/>
    </xf>
    <xf numFmtId="0" fontId="33" fillId="0" borderId="0" xfId="0" applyFont="1" applyAlignment="1">
      <alignment horizontal="center"/>
    </xf>
    <xf numFmtId="49" fontId="3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103"/>
  <sheetViews>
    <sheetView tabSelected="1" zoomScalePageLayoutView="0" workbookViewId="0" topLeftCell="B1">
      <selection activeCell="B4" sqref="B4"/>
    </sheetView>
  </sheetViews>
  <sheetFormatPr defaultColWidth="9.140625" defaultRowHeight="15"/>
  <cols>
    <col min="1" max="1" width="15.00390625" style="4" bestFit="1" customWidth="1"/>
    <col min="2" max="2" width="11.7109375" style="0" bestFit="1" customWidth="1"/>
    <col min="3" max="3" width="11.140625" style="7" customWidth="1"/>
    <col min="4" max="4" width="81.140625" style="8" bestFit="1" customWidth="1"/>
    <col min="5" max="5" width="17.57421875" style="8" bestFit="1" customWidth="1"/>
    <col min="6" max="6" width="14.28125" style="9" bestFit="1" customWidth="1"/>
    <col min="7" max="7" width="51.28125" style="0" bestFit="1" customWidth="1"/>
    <col min="8" max="8" width="17.28125" style="0" bestFit="1" customWidth="1"/>
    <col min="9" max="9" width="65.7109375" style="0" customWidth="1"/>
    <col min="10" max="11" width="30.140625" style="0" bestFit="1" customWidth="1"/>
    <col min="12" max="12" width="33.28125" style="0" bestFit="1" customWidth="1"/>
    <col min="13" max="13" width="11.28125" style="0" bestFit="1" customWidth="1"/>
    <col min="14" max="14" width="36.00390625" style="0" bestFit="1" customWidth="1"/>
  </cols>
  <sheetData>
    <row r="1" spans="1:14" s="10" customFormat="1" ht="15">
      <c r="A1" s="10" t="s">
        <v>3</v>
      </c>
      <c r="B1" s="10" t="s">
        <v>0</v>
      </c>
      <c r="C1" s="5" t="s">
        <v>1</v>
      </c>
      <c r="D1" s="5" t="s">
        <v>9</v>
      </c>
      <c r="E1" s="5" t="s">
        <v>10</v>
      </c>
      <c r="F1" s="6" t="s">
        <v>13</v>
      </c>
      <c r="G1" s="10" t="s">
        <v>4</v>
      </c>
      <c r="H1" s="11" t="s">
        <v>2</v>
      </c>
      <c r="I1" s="10" t="s">
        <v>5</v>
      </c>
      <c r="J1" s="10" t="s">
        <v>6</v>
      </c>
      <c r="K1" s="10" t="s">
        <v>7</v>
      </c>
      <c r="L1" s="10" t="s">
        <v>8</v>
      </c>
      <c r="M1" s="10" t="s">
        <v>11</v>
      </c>
      <c r="N1" s="10" t="s">
        <v>12</v>
      </c>
    </row>
    <row r="2" spans="1:13" ht="15">
      <c r="A2" s="4">
        <v>201407</v>
      </c>
      <c r="B2" t="s">
        <v>125</v>
      </c>
      <c r="C2" s="5">
        <v>6500186</v>
      </c>
      <c r="D2" s="2" t="s">
        <v>130</v>
      </c>
      <c r="E2" s="2" t="s">
        <v>131</v>
      </c>
      <c r="F2" s="3">
        <v>1785</v>
      </c>
      <c r="G2" t="s">
        <v>126</v>
      </c>
      <c r="H2" s="1" t="s">
        <v>44</v>
      </c>
      <c r="I2" t="e">
        <f>-labor-Replacing check VALVE</f>
        <v>#NAME?</v>
      </c>
      <c r="J2" t="s">
        <v>127</v>
      </c>
      <c r="K2" t="s">
        <v>128</v>
      </c>
      <c r="L2" t="s">
        <v>129</v>
      </c>
      <c r="M2">
        <v>908178</v>
      </c>
    </row>
    <row r="3" spans="1:13" ht="15">
      <c r="A3" s="4">
        <v>201407</v>
      </c>
      <c r="B3" t="s">
        <v>125</v>
      </c>
      <c r="C3" s="5">
        <v>6500186</v>
      </c>
      <c r="D3" s="2" t="s">
        <v>130</v>
      </c>
      <c r="E3" s="2" t="s">
        <v>131</v>
      </c>
      <c r="F3" s="3">
        <v>7207.01</v>
      </c>
      <c r="G3" t="s">
        <v>126</v>
      </c>
      <c r="H3" s="1" t="s">
        <v>78</v>
      </c>
      <c r="I3" t="e">
        <f>-MATERIAL-check VALVE/1621-1712-2</f>
        <v>#NAME?</v>
      </c>
      <c r="J3" t="s">
        <v>127</v>
      </c>
      <c r="K3" t="s">
        <v>128</v>
      </c>
      <c r="L3" t="s">
        <v>129</v>
      </c>
      <c r="M3">
        <v>908178</v>
      </c>
    </row>
    <row r="4" spans="1:14" ht="15">
      <c r="A4" s="4">
        <v>201407</v>
      </c>
      <c r="B4" t="s">
        <v>125</v>
      </c>
      <c r="C4" s="5">
        <v>6500186</v>
      </c>
      <c r="D4" s="2" t="s">
        <v>130</v>
      </c>
      <c r="E4" s="2" t="s">
        <v>131</v>
      </c>
      <c r="F4" s="3">
        <v>8.72</v>
      </c>
      <c r="G4" t="s">
        <v>57</v>
      </c>
      <c r="H4" s="1" t="s">
        <v>69</v>
      </c>
      <c r="I4">
        <f>-30572/323172/1</f>
        <v>-0.0945997796838835</v>
      </c>
      <c r="J4" t="s">
        <v>127</v>
      </c>
      <c r="K4" t="s">
        <v>128</v>
      </c>
      <c r="L4" t="s">
        <v>129</v>
      </c>
      <c r="N4" t="s">
        <v>58</v>
      </c>
    </row>
    <row r="5" spans="1:12" ht="15">
      <c r="A5" s="4">
        <v>201407</v>
      </c>
      <c r="B5" t="s">
        <v>125</v>
      </c>
      <c r="C5" s="5">
        <v>6500186</v>
      </c>
      <c r="D5" s="2" t="s">
        <v>130</v>
      </c>
      <c r="E5" s="2" t="s">
        <v>131</v>
      </c>
      <c r="F5" s="3">
        <v>145.32</v>
      </c>
      <c r="G5" t="s">
        <v>126</v>
      </c>
      <c r="H5" s="1" t="s">
        <v>69</v>
      </c>
      <c r="I5" t="e">
        <f>-freight</f>
        <v>#NAME?</v>
      </c>
      <c r="J5" t="s">
        <v>127</v>
      </c>
      <c r="K5" t="s">
        <v>128</v>
      </c>
      <c r="L5" t="s">
        <v>129</v>
      </c>
    </row>
    <row r="6" spans="1:13" ht="15">
      <c r="A6" s="4">
        <v>201402</v>
      </c>
      <c r="B6" t="s">
        <v>125</v>
      </c>
      <c r="C6" s="5">
        <v>6538904</v>
      </c>
      <c r="D6" s="2" t="s">
        <v>133</v>
      </c>
      <c r="E6" s="2" t="s">
        <v>15</v>
      </c>
      <c r="F6" s="3">
        <v>135.2</v>
      </c>
      <c r="G6" t="s">
        <v>119</v>
      </c>
      <c r="H6" s="1" t="s">
        <v>46</v>
      </c>
      <c r="I6" t="s">
        <v>132</v>
      </c>
      <c r="J6" t="s">
        <v>127</v>
      </c>
      <c r="K6" t="s">
        <v>128</v>
      </c>
      <c r="L6" t="s">
        <v>129</v>
      </c>
      <c r="M6">
        <v>899353</v>
      </c>
    </row>
    <row r="7" spans="1:13" ht="15">
      <c r="A7" s="4">
        <v>201403</v>
      </c>
      <c r="B7" t="s">
        <v>125</v>
      </c>
      <c r="C7" s="5">
        <v>6538904</v>
      </c>
      <c r="D7" s="2" t="s">
        <v>133</v>
      </c>
      <c r="E7" s="2" t="s">
        <v>15</v>
      </c>
      <c r="F7" s="3">
        <v>2.65</v>
      </c>
      <c r="G7" t="s">
        <v>119</v>
      </c>
      <c r="H7" s="1" t="s">
        <v>46</v>
      </c>
      <c r="I7" t="s">
        <v>134</v>
      </c>
      <c r="J7" t="s">
        <v>127</v>
      </c>
      <c r="K7" t="s">
        <v>128</v>
      </c>
      <c r="L7" t="s">
        <v>129</v>
      </c>
      <c r="M7">
        <v>901543</v>
      </c>
    </row>
    <row r="8" spans="1:12" ht="15">
      <c r="A8" s="4">
        <v>201401</v>
      </c>
      <c r="B8" t="s">
        <v>125</v>
      </c>
      <c r="C8" s="5">
        <v>6538904</v>
      </c>
      <c r="D8" s="2" t="s">
        <v>133</v>
      </c>
      <c r="E8" s="2" t="s">
        <v>15</v>
      </c>
      <c r="F8" s="3">
        <v>0.37</v>
      </c>
      <c r="H8" s="1" t="s">
        <v>66</v>
      </c>
      <c r="I8" t="s">
        <v>67</v>
      </c>
      <c r="J8" t="s">
        <v>127</v>
      </c>
      <c r="K8" t="s">
        <v>128</v>
      </c>
      <c r="L8" t="s">
        <v>129</v>
      </c>
    </row>
    <row r="9" spans="1:12" ht="15">
      <c r="A9" s="4">
        <v>201402</v>
      </c>
      <c r="B9" t="s">
        <v>125</v>
      </c>
      <c r="C9" s="5">
        <v>6542597</v>
      </c>
      <c r="D9" s="2" t="s">
        <v>135</v>
      </c>
      <c r="E9" s="2" t="s">
        <v>15</v>
      </c>
      <c r="F9" s="3">
        <v>0.74</v>
      </c>
      <c r="H9" s="1" t="s">
        <v>66</v>
      </c>
      <c r="I9" t="s">
        <v>67</v>
      </c>
      <c r="J9" t="s">
        <v>127</v>
      </c>
      <c r="K9" t="s">
        <v>128</v>
      </c>
      <c r="L9" t="s">
        <v>129</v>
      </c>
    </row>
    <row r="10" spans="1:12" ht="15">
      <c r="A10" s="4">
        <v>201402</v>
      </c>
      <c r="B10" t="s">
        <v>125</v>
      </c>
      <c r="C10" s="5">
        <v>6542602</v>
      </c>
      <c r="D10" s="2" t="s">
        <v>136</v>
      </c>
      <c r="E10" s="2" t="s">
        <v>15</v>
      </c>
      <c r="F10" s="3">
        <v>0.74</v>
      </c>
      <c r="H10" s="1" t="s">
        <v>66</v>
      </c>
      <c r="I10" t="s">
        <v>67</v>
      </c>
      <c r="J10" t="s">
        <v>127</v>
      </c>
      <c r="K10" t="s">
        <v>128</v>
      </c>
      <c r="L10" t="s">
        <v>129</v>
      </c>
    </row>
    <row r="11" spans="1:13" ht="15">
      <c r="A11" s="4">
        <v>201405</v>
      </c>
      <c r="B11" t="s">
        <v>125</v>
      </c>
      <c r="C11" s="5">
        <v>6563827</v>
      </c>
      <c r="D11" s="2" t="s">
        <v>138</v>
      </c>
      <c r="E11" s="2" t="s">
        <v>15</v>
      </c>
      <c r="F11" s="3">
        <v>3874.5</v>
      </c>
      <c r="G11" t="s">
        <v>137</v>
      </c>
      <c r="H11" s="1" t="s">
        <v>44</v>
      </c>
      <c r="I11" t="e">
        <f>-labor-Service labor TO Replace HP Element</f>
        <v>#NAME?</v>
      </c>
      <c r="J11" t="s">
        <v>127</v>
      </c>
      <c r="K11" t="s">
        <v>128</v>
      </c>
      <c r="L11" t="s">
        <v>129</v>
      </c>
      <c r="M11">
        <v>904399</v>
      </c>
    </row>
    <row r="12" spans="1:13" ht="15">
      <c r="A12" s="4">
        <v>201405</v>
      </c>
      <c r="B12" t="s">
        <v>125</v>
      </c>
      <c r="C12" s="5">
        <v>6563827</v>
      </c>
      <c r="D12" s="2" t="s">
        <v>138</v>
      </c>
      <c r="E12" s="2" t="s">
        <v>15</v>
      </c>
      <c r="F12" s="3">
        <v>40864.14</v>
      </c>
      <c r="G12" t="s">
        <v>137</v>
      </c>
      <c r="H12" s="1" t="s">
        <v>78</v>
      </c>
      <c r="I12" t="e">
        <f>-MATERIAL-HP Element and HP Element Exchange KIT</f>
        <v>#NAME?</v>
      </c>
      <c r="J12" t="s">
        <v>127</v>
      </c>
      <c r="K12" t="s">
        <v>128</v>
      </c>
      <c r="L12" t="s">
        <v>129</v>
      </c>
      <c r="M12">
        <v>904399</v>
      </c>
    </row>
    <row r="13" spans="1:12" ht="15">
      <c r="A13" s="4">
        <v>201405</v>
      </c>
      <c r="B13" t="s">
        <v>125</v>
      </c>
      <c r="C13" s="5">
        <v>6563827</v>
      </c>
      <c r="D13" s="2" t="s">
        <v>138</v>
      </c>
      <c r="E13" s="2" t="s">
        <v>15</v>
      </c>
      <c r="F13" s="3">
        <v>1.54</v>
      </c>
      <c r="H13" s="1" t="s">
        <v>66</v>
      </c>
      <c r="I13" t="s">
        <v>67</v>
      </c>
      <c r="J13" t="s">
        <v>127</v>
      </c>
      <c r="K13" t="s">
        <v>128</v>
      </c>
      <c r="L13" t="s">
        <v>129</v>
      </c>
    </row>
    <row r="14" spans="1:12" ht="15">
      <c r="A14" s="4">
        <v>201405</v>
      </c>
      <c r="B14" t="s">
        <v>125</v>
      </c>
      <c r="C14" s="5">
        <v>6563827</v>
      </c>
      <c r="D14" s="2" t="s">
        <v>138</v>
      </c>
      <c r="E14" s="2" t="s">
        <v>15</v>
      </c>
      <c r="F14" s="3">
        <v>0</v>
      </c>
      <c r="H14" s="1" t="s">
        <v>68</v>
      </c>
      <c r="J14" t="s">
        <v>127</v>
      </c>
      <c r="K14" t="s">
        <v>128</v>
      </c>
      <c r="L14" t="s">
        <v>129</v>
      </c>
    </row>
    <row r="15" spans="1:12" ht="15">
      <c r="A15" s="4">
        <v>201405</v>
      </c>
      <c r="B15" t="s">
        <v>125</v>
      </c>
      <c r="C15" s="5">
        <v>6563827</v>
      </c>
      <c r="D15" s="2" t="s">
        <v>138</v>
      </c>
      <c r="E15" s="2" t="s">
        <v>15</v>
      </c>
      <c r="F15" s="3">
        <v>6</v>
      </c>
      <c r="H15" s="1" t="s">
        <v>68</v>
      </c>
      <c r="J15" t="s">
        <v>127</v>
      </c>
      <c r="K15" t="s">
        <v>128</v>
      </c>
      <c r="L15" t="s">
        <v>129</v>
      </c>
    </row>
    <row r="16" spans="1:14" ht="15">
      <c r="A16" s="4">
        <v>201405</v>
      </c>
      <c r="B16" t="s">
        <v>125</v>
      </c>
      <c r="C16" s="5">
        <v>6563827</v>
      </c>
      <c r="D16" s="2" t="s">
        <v>138</v>
      </c>
      <c r="E16" s="2" t="s">
        <v>15</v>
      </c>
      <c r="F16" s="3">
        <v>18</v>
      </c>
      <c r="G16" t="s">
        <v>57</v>
      </c>
      <c r="H16" s="1" t="s">
        <v>69</v>
      </c>
      <c r="I16">
        <f>-10287/9600221100/1</f>
        <v>-1.0715378211445567E-06</v>
      </c>
      <c r="J16" t="s">
        <v>127</v>
      </c>
      <c r="K16" t="s">
        <v>128</v>
      </c>
      <c r="L16" t="s">
        <v>129</v>
      </c>
      <c r="N16" t="s">
        <v>58</v>
      </c>
    </row>
    <row r="17" spans="1:12" ht="15">
      <c r="A17" s="4">
        <v>201405</v>
      </c>
      <c r="B17" t="s">
        <v>125</v>
      </c>
      <c r="C17" s="5">
        <v>6563827</v>
      </c>
      <c r="D17" s="2" t="s">
        <v>138</v>
      </c>
      <c r="E17" s="2" t="s">
        <v>15</v>
      </c>
      <c r="F17" s="3">
        <v>300</v>
      </c>
      <c r="G17" t="s">
        <v>137</v>
      </c>
      <c r="H17" s="1" t="s">
        <v>69</v>
      </c>
      <c r="I17" t="e">
        <f>-freight</f>
        <v>#NAME?</v>
      </c>
      <c r="J17" t="s">
        <v>127</v>
      </c>
      <c r="K17" t="s">
        <v>128</v>
      </c>
      <c r="L17" t="s">
        <v>129</v>
      </c>
    </row>
    <row r="18" spans="1:12" ht="15">
      <c r="A18" s="4">
        <v>201404</v>
      </c>
      <c r="B18" t="s">
        <v>139</v>
      </c>
      <c r="C18" s="5">
        <v>6561295</v>
      </c>
      <c r="D18" s="2" t="s">
        <v>143</v>
      </c>
      <c r="E18" s="2" t="s">
        <v>15</v>
      </c>
      <c r="F18" s="3">
        <v>10.02</v>
      </c>
      <c r="H18" s="1" t="s">
        <v>14</v>
      </c>
      <c r="I18" t="s">
        <v>30</v>
      </c>
      <c r="J18" t="s">
        <v>140</v>
      </c>
      <c r="K18" t="s">
        <v>141</v>
      </c>
      <c r="L18" t="s">
        <v>142</v>
      </c>
    </row>
    <row r="19" spans="1:13" ht="15">
      <c r="A19" s="4">
        <v>201406</v>
      </c>
      <c r="B19" t="s">
        <v>139</v>
      </c>
      <c r="C19" s="5">
        <v>6561295</v>
      </c>
      <c r="D19" s="2" t="s">
        <v>143</v>
      </c>
      <c r="E19" s="2" t="s">
        <v>15</v>
      </c>
      <c r="F19" s="3">
        <v>73.14</v>
      </c>
      <c r="G19" t="s">
        <v>119</v>
      </c>
      <c r="H19" s="1" t="s">
        <v>46</v>
      </c>
      <c r="I19" t="s">
        <v>144</v>
      </c>
      <c r="J19" t="s">
        <v>140</v>
      </c>
      <c r="K19" t="s">
        <v>141</v>
      </c>
      <c r="L19" t="s">
        <v>142</v>
      </c>
      <c r="M19">
        <v>907195</v>
      </c>
    </row>
    <row r="20" spans="1:12" ht="15">
      <c r="A20" s="4">
        <v>201404</v>
      </c>
      <c r="B20" t="s">
        <v>139</v>
      </c>
      <c r="C20" s="5">
        <v>6561295</v>
      </c>
      <c r="D20" s="2" t="s">
        <v>143</v>
      </c>
      <c r="E20" s="2" t="s">
        <v>15</v>
      </c>
      <c r="F20" s="3">
        <v>0.23</v>
      </c>
      <c r="H20" s="1" t="s">
        <v>66</v>
      </c>
      <c r="I20" t="s">
        <v>67</v>
      </c>
      <c r="J20" t="s">
        <v>140</v>
      </c>
      <c r="K20" t="s">
        <v>141</v>
      </c>
      <c r="L20" t="s">
        <v>142</v>
      </c>
    </row>
    <row r="21" spans="1:12" ht="15">
      <c r="A21" s="4">
        <v>201405</v>
      </c>
      <c r="B21" t="s">
        <v>139</v>
      </c>
      <c r="C21" s="5">
        <v>6561295</v>
      </c>
      <c r="D21" s="2" t="s">
        <v>143</v>
      </c>
      <c r="E21" s="2" t="s">
        <v>15</v>
      </c>
      <c r="F21" s="3">
        <v>1.29</v>
      </c>
      <c r="H21" s="1" t="s">
        <v>66</v>
      </c>
      <c r="I21" t="s">
        <v>67</v>
      </c>
      <c r="J21" t="s">
        <v>140</v>
      </c>
      <c r="K21" t="s">
        <v>141</v>
      </c>
      <c r="L21" t="s">
        <v>142</v>
      </c>
    </row>
    <row r="22" spans="1:12" ht="15">
      <c r="A22" s="4">
        <v>201405</v>
      </c>
      <c r="B22" t="s">
        <v>139</v>
      </c>
      <c r="C22" s="5">
        <v>6561295</v>
      </c>
      <c r="D22" s="2" t="s">
        <v>143</v>
      </c>
      <c r="E22" s="2" t="s">
        <v>15</v>
      </c>
      <c r="F22" s="3">
        <v>0</v>
      </c>
      <c r="H22" s="1" t="s">
        <v>68</v>
      </c>
      <c r="J22" t="s">
        <v>140</v>
      </c>
      <c r="K22" t="s">
        <v>141</v>
      </c>
      <c r="L22" t="s">
        <v>142</v>
      </c>
    </row>
    <row r="23" spans="1:12" ht="15">
      <c r="A23" s="4">
        <v>201405</v>
      </c>
      <c r="B23" t="s">
        <v>139</v>
      </c>
      <c r="C23" s="5">
        <v>6561295</v>
      </c>
      <c r="D23" s="2" t="s">
        <v>143</v>
      </c>
      <c r="E23" s="2" t="s">
        <v>15</v>
      </c>
      <c r="F23" s="3">
        <v>6</v>
      </c>
      <c r="H23" s="1" t="s">
        <v>68</v>
      </c>
      <c r="J23" t="s">
        <v>140</v>
      </c>
      <c r="K23" t="s">
        <v>141</v>
      </c>
      <c r="L23" t="s">
        <v>142</v>
      </c>
    </row>
    <row r="24" spans="1:12" ht="15">
      <c r="A24" s="4">
        <v>201401</v>
      </c>
      <c r="B24" t="s">
        <v>145</v>
      </c>
      <c r="C24" s="5">
        <v>6531897</v>
      </c>
      <c r="D24" s="2" t="s">
        <v>149</v>
      </c>
      <c r="E24" s="2" t="s">
        <v>15</v>
      </c>
      <c r="F24" s="3">
        <v>0.83</v>
      </c>
      <c r="H24" s="1" t="s">
        <v>14</v>
      </c>
      <c r="I24" t="s">
        <v>16</v>
      </c>
      <c r="J24" t="s">
        <v>146</v>
      </c>
      <c r="K24" t="s">
        <v>147</v>
      </c>
      <c r="L24" t="s">
        <v>148</v>
      </c>
    </row>
    <row r="25" spans="1:12" ht="15">
      <c r="A25" s="4">
        <v>201401</v>
      </c>
      <c r="B25" t="s">
        <v>145</v>
      </c>
      <c r="C25" s="5">
        <v>6531897</v>
      </c>
      <c r="D25" s="2" t="s">
        <v>149</v>
      </c>
      <c r="E25" s="2" t="s">
        <v>15</v>
      </c>
      <c r="F25" s="3">
        <v>3.15</v>
      </c>
      <c r="H25" s="1" t="s">
        <v>14</v>
      </c>
      <c r="I25" t="s">
        <v>150</v>
      </c>
      <c r="J25" t="s">
        <v>146</v>
      </c>
      <c r="K25" t="s">
        <v>147</v>
      </c>
      <c r="L25" t="s">
        <v>148</v>
      </c>
    </row>
    <row r="26" spans="1:12" ht="15">
      <c r="A26" s="4">
        <v>201401</v>
      </c>
      <c r="B26" t="s">
        <v>145</v>
      </c>
      <c r="C26" s="5">
        <v>6531897</v>
      </c>
      <c r="D26" s="2" t="s">
        <v>149</v>
      </c>
      <c r="E26" s="2" t="s">
        <v>15</v>
      </c>
      <c r="F26" s="3">
        <v>15</v>
      </c>
      <c r="H26" s="1" t="s">
        <v>14</v>
      </c>
      <c r="I26" t="s">
        <v>28</v>
      </c>
      <c r="J26" t="s">
        <v>146</v>
      </c>
      <c r="K26" t="s">
        <v>147</v>
      </c>
      <c r="L26" t="s">
        <v>148</v>
      </c>
    </row>
    <row r="27" spans="1:12" ht="15">
      <c r="A27" s="4">
        <v>201401</v>
      </c>
      <c r="B27" t="s">
        <v>145</v>
      </c>
      <c r="C27" s="5">
        <v>6531897</v>
      </c>
      <c r="D27" s="2" t="s">
        <v>149</v>
      </c>
      <c r="E27" s="2" t="s">
        <v>15</v>
      </c>
      <c r="F27" s="3">
        <v>21</v>
      </c>
      <c r="H27" s="1" t="s">
        <v>14</v>
      </c>
      <c r="I27" t="s">
        <v>151</v>
      </c>
      <c r="J27" t="s">
        <v>146</v>
      </c>
      <c r="K27" t="s">
        <v>147</v>
      </c>
      <c r="L27" t="s">
        <v>148</v>
      </c>
    </row>
    <row r="28" spans="1:12" ht="15">
      <c r="A28" s="4">
        <v>201401</v>
      </c>
      <c r="B28" t="s">
        <v>145</v>
      </c>
      <c r="C28" s="5">
        <v>6531897</v>
      </c>
      <c r="D28" s="2" t="s">
        <v>149</v>
      </c>
      <c r="E28" s="2" t="s">
        <v>15</v>
      </c>
      <c r="F28" s="3">
        <v>22.12</v>
      </c>
      <c r="H28" s="1" t="s">
        <v>14</v>
      </c>
      <c r="I28" t="s">
        <v>152</v>
      </c>
      <c r="J28" t="s">
        <v>146</v>
      </c>
      <c r="K28" t="s">
        <v>147</v>
      </c>
      <c r="L28" t="s">
        <v>148</v>
      </c>
    </row>
    <row r="29" spans="1:12" ht="15">
      <c r="A29" s="4">
        <v>201401</v>
      </c>
      <c r="B29" t="s">
        <v>145</v>
      </c>
      <c r="C29" s="5">
        <v>6531897</v>
      </c>
      <c r="D29" s="2" t="s">
        <v>149</v>
      </c>
      <c r="E29" s="2" t="s">
        <v>15</v>
      </c>
      <c r="F29" s="3">
        <v>64.79</v>
      </c>
      <c r="H29" s="1" t="s">
        <v>14</v>
      </c>
      <c r="I29" t="s">
        <v>153</v>
      </c>
      <c r="J29" t="s">
        <v>146</v>
      </c>
      <c r="K29" t="s">
        <v>147</v>
      </c>
      <c r="L29" t="s">
        <v>148</v>
      </c>
    </row>
    <row r="30" spans="1:12" ht="15">
      <c r="A30" s="4">
        <v>201401</v>
      </c>
      <c r="B30" t="s">
        <v>145</v>
      </c>
      <c r="C30" s="5">
        <v>6531897</v>
      </c>
      <c r="D30" s="2" t="s">
        <v>149</v>
      </c>
      <c r="E30" s="2" t="s">
        <v>15</v>
      </c>
      <c r="F30" s="3">
        <v>104.76</v>
      </c>
      <c r="H30" s="1" t="s">
        <v>14</v>
      </c>
      <c r="I30" t="s">
        <v>154</v>
      </c>
      <c r="J30" t="s">
        <v>146</v>
      </c>
      <c r="K30" t="s">
        <v>147</v>
      </c>
      <c r="L30" t="s">
        <v>148</v>
      </c>
    </row>
    <row r="31" spans="1:12" ht="15">
      <c r="A31" s="4">
        <v>201401</v>
      </c>
      <c r="B31" t="s">
        <v>145</v>
      </c>
      <c r="C31" s="5">
        <v>6531897</v>
      </c>
      <c r="D31" s="2" t="s">
        <v>149</v>
      </c>
      <c r="E31" s="2" t="s">
        <v>15</v>
      </c>
      <c r="F31" s="3">
        <v>149.82</v>
      </c>
      <c r="H31" s="1" t="s">
        <v>14</v>
      </c>
      <c r="I31" t="s">
        <v>155</v>
      </c>
      <c r="J31" t="s">
        <v>146</v>
      </c>
      <c r="K31" t="s">
        <v>147</v>
      </c>
      <c r="L31" t="s">
        <v>148</v>
      </c>
    </row>
    <row r="32" spans="1:12" ht="15">
      <c r="A32" s="4">
        <v>201401</v>
      </c>
      <c r="B32" t="s">
        <v>145</v>
      </c>
      <c r="C32" s="5">
        <v>6531897</v>
      </c>
      <c r="D32" s="2" t="s">
        <v>149</v>
      </c>
      <c r="E32" s="2" t="s">
        <v>15</v>
      </c>
      <c r="F32" s="3">
        <v>157.74</v>
      </c>
      <c r="H32" s="1" t="s">
        <v>14</v>
      </c>
      <c r="I32" t="s">
        <v>156</v>
      </c>
      <c r="J32" t="s">
        <v>146</v>
      </c>
      <c r="K32" t="s">
        <v>147</v>
      </c>
      <c r="L32" t="s">
        <v>148</v>
      </c>
    </row>
    <row r="33" spans="1:12" ht="15">
      <c r="A33" s="4">
        <v>201401</v>
      </c>
      <c r="B33" t="s">
        <v>145</v>
      </c>
      <c r="C33" s="5">
        <v>6531897</v>
      </c>
      <c r="D33" s="2" t="s">
        <v>149</v>
      </c>
      <c r="E33" s="2" t="s">
        <v>15</v>
      </c>
      <c r="F33" s="3">
        <v>218.32</v>
      </c>
      <c r="H33" s="1" t="s">
        <v>14</v>
      </c>
      <c r="I33" t="s">
        <v>157</v>
      </c>
      <c r="J33" t="s">
        <v>146</v>
      </c>
      <c r="K33" t="s">
        <v>147</v>
      </c>
      <c r="L33" t="s">
        <v>148</v>
      </c>
    </row>
    <row r="34" spans="1:12" ht="15">
      <c r="A34" s="4">
        <v>201401</v>
      </c>
      <c r="B34" t="s">
        <v>145</v>
      </c>
      <c r="C34" s="5">
        <v>6531897</v>
      </c>
      <c r="D34" s="2" t="s">
        <v>149</v>
      </c>
      <c r="E34" s="2" t="s">
        <v>15</v>
      </c>
      <c r="F34" s="3">
        <v>618.75</v>
      </c>
      <c r="H34" s="1" t="s">
        <v>14</v>
      </c>
      <c r="I34" t="s">
        <v>158</v>
      </c>
      <c r="J34" t="s">
        <v>146</v>
      </c>
      <c r="K34" t="s">
        <v>147</v>
      </c>
      <c r="L34" t="s">
        <v>148</v>
      </c>
    </row>
    <row r="35" spans="1:12" ht="15">
      <c r="A35" s="4">
        <v>201402</v>
      </c>
      <c r="B35" t="s">
        <v>145</v>
      </c>
      <c r="C35" s="5">
        <v>6531897</v>
      </c>
      <c r="D35" s="2" t="s">
        <v>149</v>
      </c>
      <c r="E35" s="2" t="s">
        <v>15</v>
      </c>
      <c r="F35" s="3">
        <v>8.25</v>
      </c>
      <c r="H35" s="1" t="s">
        <v>14</v>
      </c>
      <c r="I35" t="s">
        <v>159</v>
      </c>
      <c r="J35" t="s">
        <v>146</v>
      </c>
      <c r="K35" t="s">
        <v>147</v>
      </c>
      <c r="L35" t="s">
        <v>148</v>
      </c>
    </row>
    <row r="36" spans="1:12" ht="15">
      <c r="A36" s="4">
        <v>201402</v>
      </c>
      <c r="B36" t="s">
        <v>145</v>
      </c>
      <c r="C36" s="5">
        <v>6531897</v>
      </c>
      <c r="D36" s="2" t="s">
        <v>149</v>
      </c>
      <c r="E36" s="2" t="s">
        <v>15</v>
      </c>
      <c r="F36" s="3">
        <v>9.28</v>
      </c>
      <c r="H36" s="1" t="s">
        <v>14</v>
      </c>
      <c r="I36" t="s">
        <v>30</v>
      </c>
      <c r="J36" t="s">
        <v>146</v>
      </c>
      <c r="K36" t="s">
        <v>147</v>
      </c>
      <c r="L36" t="s">
        <v>148</v>
      </c>
    </row>
    <row r="37" spans="1:12" ht="15">
      <c r="A37" s="4">
        <v>201402</v>
      </c>
      <c r="B37" t="s">
        <v>145</v>
      </c>
      <c r="C37" s="5">
        <v>6531897</v>
      </c>
      <c r="D37" s="2" t="s">
        <v>149</v>
      </c>
      <c r="E37" s="2" t="s">
        <v>15</v>
      </c>
      <c r="F37" s="3">
        <v>13.1</v>
      </c>
      <c r="H37" s="1" t="s">
        <v>14</v>
      </c>
      <c r="I37" t="s">
        <v>160</v>
      </c>
      <c r="J37" t="s">
        <v>146</v>
      </c>
      <c r="K37" t="s">
        <v>147</v>
      </c>
      <c r="L37" t="s">
        <v>148</v>
      </c>
    </row>
    <row r="38" spans="1:12" ht="15">
      <c r="A38" s="4">
        <v>201403</v>
      </c>
      <c r="B38" t="s">
        <v>145</v>
      </c>
      <c r="C38" s="5">
        <v>6531897</v>
      </c>
      <c r="D38" s="2" t="s">
        <v>149</v>
      </c>
      <c r="E38" s="2" t="s">
        <v>15</v>
      </c>
      <c r="F38" s="3">
        <v>0.7</v>
      </c>
      <c r="H38" s="1" t="s">
        <v>14</v>
      </c>
      <c r="I38" t="s">
        <v>121</v>
      </c>
      <c r="J38" t="s">
        <v>146</v>
      </c>
      <c r="K38" t="s">
        <v>147</v>
      </c>
      <c r="L38" t="s">
        <v>148</v>
      </c>
    </row>
    <row r="39" spans="1:12" ht="15">
      <c r="A39" s="4">
        <v>201403</v>
      </c>
      <c r="B39" t="s">
        <v>145</v>
      </c>
      <c r="C39" s="5">
        <v>6531897</v>
      </c>
      <c r="D39" s="2" t="s">
        <v>149</v>
      </c>
      <c r="E39" s="2" t="s">
        <v>15</v>
      </c>
      <c r="F39" s="3">
        <v>1.67</v>
      </c>
      <c r="H39" s="1" t="s">
        <v>14</v>
      </c>
      <c r="I39" t="s">
        <v>161</v>
      </c>
      <c r="J39" t="s">
        <v>146</v>
      </c>
      <c r="K39" t="s">
        <v>147</v>
      </c>
      <c r="L39" t="s">
        <v>148</v>
      </c>
    </row>
    <row r="40" spans="1:12" ht="15">
      <c r="A40" s="4">
        <v>201403</v>
      </c>
      <c r="B40" t="s">
        <v>145</v>
      </c>
      <c r="C40" s="5">
        <v>6531897</v>
      </c>
      <c r="D40" s="2" t="s">
        <v>149</v>
      </c>
      <c r="E40" s="2" t="s">
        <v>15</v>
      </c>
      <c r="F40" s="3">
        <v>3.75</v>
      </c>
      <c r="H40" s="1" t="s">
        <v>14</v>
      </c>
      <c r="I40" t="s">
        <v>28</v>
      </c>
      <c r="J40" t="s">
        <v>146</v>
      </c>
      <c r="K40" t="s">
        <v>147</v>
      </c>
      <c r="L40" t="s">
        <v>148</v>
      </c>
    </row>
    <row r="41" spans="1:12" ht="15">
      <c r="A41" s="4">
        <v>201403</v>
      </c>
      <c r="B41" t="s">
        <v>145</v>
      </c>
      <c r="C41" s="5">
        <v>6531897</v>
      </c>
      <c r="D41" s="2" t="s">
        <v>149</v>
      </c>
      <c r="E41" s="2" t="s">
        <v>15</v>
      </c>
      <c r="F41" s="3">
        <v>9.26</v>
      </c>
      <c r="H41" s="1" t="s">
        <v>14</v>
      </c>
      <c r="I41" t="s">
        <v>116</v>
      </c>
      <c r="J41" t="s">
        <v>146</v>
      </c>
      <c r="K41" t="s">
        <v>147</v>
      </c>
      <c r="L41" t="s">
        <v>148</v>
      </c>
    </row>
    <row r="42" spans="1:12" ht="15">
      <c r="A42" s="4">
        <v>201403</v>
      </c>
      <c r="B42" t="s">
        <v>145</v>
      </c>
      <c r="C42" s="5">
        <v>6531897</v>
      </c>
      <c r="D42" s="2" t="s">
        <v>149</v>
      </c>
      <c r="E42" s="2" t="s">
        <v>15</v>
      </c>
      <c r="F42" s="3">
        <v>155.42</v>
      </c>
      <c r="H42" s="1" t="s">
        <v>14</v>
      </c>
      <c r="I42" t="s">
        <v>162</v>
      </c>
      <c r="J42" t="s">
        <v>146</v>
      </c>
      <c r="K42" t="s">
        <v>147</v>
      </c>
      <c r="L42" t="s">
        <v>148</v>
      </c>
    </row>
    <row r="43" spans="1:12" ht="15">
      <c r="A43" s="4">
        <v>201403</v>
      </c>
      <c r="B43" t="s">
        <v>145</v>
      </c>
      <c r="C43" s="5">
        <v>6531897</v>
      </c>
      <c r="D43" s="2" t="s">
        <v>149</v>
      </c>
      <c r="E43" s="2" t="s">
        <v>15</v>
      </c>
      <c r="F43" s="3">
        <v>272.99</v>
      </c>
      <c r="H43" s="1" t="s">
        <v>14</v>
      </c>
      <c r="I43" t="s">
        <v>163</v>
      </c>
      <c r="J43" t="s">
        <v>146</v>
      </c>
      <c r="K43" t="s">
        <v>147</v>
      </c>
      <c r="L43" t="s">
        <v>148</v>
      </c>
    </row>
    <row r="44" spans="1:12" ht="15">
      <c r="A44" s="4">
        <v>201402</v>
      </c>
      <c r="B44" t="s">
        <v>145</v>
      </c>
      <c r="C44" s="5">
        <v>6531897</v>
      </c>
      <c r="D44" s="2" t="s">
        <v>149</v>
      </c>
      <c r="E44" s="2" t="s">
        <v>15</v>
      </c>
      <c r="F44" s="3">
        <v>-111.35</v>
      </c>
      <c r="H44" s="1" t="s">
        <v>43</v>
      </c>
      <c r="I44" t="s">
        <v>156</v>
      </c>
      <c r="J44" t="s">
        <v>146</v>
      </c>
      <c r="K44" t="s">
        <v>147</v>
      </c>
      <c r="L44" t="s">
        <v>148</v>
      </c>
    </row>
    <row r="45" spans="1:14" ht="15">
      <c r="A45" s="4">
        <v>201401</v>
      </c>
      <c r="B45" t="s">
        <v>145</v>
      </c>
      <c r="C45" s="5">
        <v>6531897</v>
      </c>
      <c r="D45" s="2" t="s">
        <v>149</v>
      </c>
      <c r="E45" s="2" t="s">
        <v>15</v>
      </c>
      <c r="F45" s="3">
        <v>160.94</v>
      </c>
      <c r="G45" t="s">
        <v>57</v>
      </c>
      <c r="H45" s="1" t="s">
        <v>60</v>
      </c>
      <c r="I45">
        <f>-40906/1401548516/1</f>
        <v>-2.9186288974672924E-05</v>
      </c>
      <c r="J45" t="s">
        <v>146</v>
      </c>
      <c r="K45" t="s">
        <v>147</v>
      </c>
      <c r="L45" t="s">
        <v>148</v>
      </c>
      <c r="N45" t="s">
        <v>58</v>
      </c>
    </row>
    <row r="46" spans="1:13" ht="15">
      <c r="A46" s="4">
        <v>201401</v>
      </c>
      <c r="B46" t="s">
        <v>145</v>
      </c>
      <c r="C46" s="5">
        <v>6531897</v>
      </c>
      <c r="D46" s="2" t="s">
        <v>149</v>
      </c>
      <c r="E46" s="2" t="s">
        <v>15</v>
      </c>
      <c r="F46" s="3">
        <v>190.08</v>
      </c>
      <c r="G46" t="s">
        <v>59</v>
      </c>
      <c r="H46" s="1" t="s">
        <v>60</v>
      </c>
      <c r="I46" t="e">
        <f>-FUSE-AJT60 FUSE Class J T/D</f>
        <v>#NAME?</v>
      </c>
      <c r="J46" t="s">
        <v>146</v>
      </c>
      <c r="K46" t="s">
        <v>147</v>
      </c>
      <c r="L46" t="s">
        <v>148</v>
      </c>
      <c r="M46">
        <v>897057</v>
      </c>
    </row>
    <row r="47" spans="1:13" ht="15">
      <c r="A47" s="4">
        <v>201401</v>
      </c>
      <c r="B47" t="s">
        <v>145</v>
      </c>
      <c r="C47" s="5">
        <v>6531897</v>
      </c>
      <c r="D47" s="2" t="s">
        <v>149</v>
      </c>
      <c r="E47" s="2" t="s">
        <v>15</v>
      </c>
      <c r="F47" s="3">
        <v>222.8</v>
      </c>
      <c r="G47" t="s">
        <v>59</v>
      </c>
      <c r="H47" s="1" t="s">
        <v>60</v>
      </c>
      <c r="I47" t="e">
        <f>-FUSE-AJT30 FUSE Class J TD</f>
        <v>#NAME?</v>
      </c>
      <c r="J47" t="s">
        <v>146</v>
      </c>
      <c r="K47" t="s">
        <v>147</v>
      </c>
      <c r="L47" t="s">
        <v>148</v>
      </c>
      <c r="M47">
        <v>897057</v>
      </c>
    </row>
    <row r="48" spans="1:13" ht="15">
      <c r="A48" s="4">
        <v>201401</v>
      </c>
      <c r="B48" t="s">
        <v>145</v>
      </c>
      <c r="C48" s="5">
        <v>6531897</v>
      </c>
      <c r="D48" s="2" t="s">
        <v>149</v>
      </c>
      <c r="E48" s="2" t="s">
        <v>15</v>
      </c>
      <c r="F48" s="3">
        <v>392.23</v>
      </c>
      <c r="G48" t="s">
        <v>59</v>
      </c>
      <c r="H48" s="1" t="s">
        <v>60</v>
      </c>
      <c r="I48" t="s">
        <v>164</v>
      </c>
      <c r="J48" t="s">
        <v>146</v>
      </c>
      <c r="K48" t="s">
        <v>147</v>
      </c>
      <c r="L48" t="s">
        <v>148</v>
      </c>
      <c r="M48">
        <v>897057</v>
      </c>
    </row>
    <row r="49" spans="1:13" ht="15">
      <c r="A49" s="4">
        <v>201401</v>
      </c>
      <c r="B49" t="s">
        <v>145</v>
      </c>
      <c r="C49" s="5">
        <v>6531897</v>
      </c>
      <c r="D49" s="2" t="s">
        <v>149</v>
      </c>
      <c r="E49" s="2" t="s">
        <v>15</v>
      </c>
      <c r="F49" s="3">
        <v>534.43</v>
      </c>
      <c r="G49" t="s">
        <v>59</v>
      </c>
      <c r="H49" s="1" t="s">
        <v>60</v>
      </c>
      <c r="I49" t="s">
        <v>165</v>
      </c>
      <c r="J49" t="s">
        <v>146</v>
      </c>
      <c r="K49" t="s">
        <v>147</v>
      </c>
      <c r="L49" t="s">
        <v>148</v>
      </c>
      <c r="M49">
        <v>897057</v>
      </c>
    </row>
    <row r="50" spans="1:13" ht="15">
      <c r="A50" s="4">
        <v>201401</v>
      </c>
      <c r="B50" t="s">
        <v>145</v>
      </c>
      <c r="C50" s="5">
        <v>6531897</v>
      </c>
      <c r="D50" s="2" t="s">
        <v>149</v>
      </c>
      <c r="E50" s="2" t="s">
        <v>15</v>
      </c>
      <c r="F50" s="3">
        <v>537.66</v>
      </c>
      <c r="G50" t="s">
        <v>59</v>
      </c>
      <c r="H50" s="1" t="s">
        <v>60</v>
      </c>
      <c r="I50" t="s">
        <v>166</v>
      </c>
      <c r="J50" t="s">
        <v>146</v>
      </c>
      <c r="K50" t="s">
        <v>147</v>
      </c>
      <c r="L50" t="s">
        <v>148</v>
      </c>
      <c r="M50">
        <v>897057</v>
      </c>
    </row>
    <row r="51" spans="1:13" ht="15">
      <c r="A51" s="4">
        <v>201401</v>
      </c>
      <c r="B51" t="s">
        <v>145</v>
      </c>
      <c r="C51" s="5">
        <v>6531897</v>
      </c>
      <c r="D51" s="2" t="s">
        <v>149</v>
      </c>
      <c r="E51" s="2" t="s">
        <v>15</v>
      </c>
      <c r="F51" s="3">
        <v>791.63</v>
      </c>
      <c r="G51" t="s">
        <v>59</v>
      </c>
      <c r="H51" s="1" t="s">
        <v>60</v>
      </c>
      <c r="I51" t="s">
        <v>167</v>
      </c>
      <c r="J51" t="s">
        <v>146</v>
      </c>
      <c r="K51" t="s">
        <v>147</v>
      </c>
      <c r="L51" t="s">
        <v>148</v>
      </c>
      <c r="M51">
        <v>897057</v>
      </c>
    </row>
    <row r="52" spans="1:12" ht="15">
      <c r="A52" s="4">
        <v>201404</v>
      </c>
      <c r="B52" t="s">
        <v>145</v>
      </c>
      <c r="C52" s="5">
        <v>6531897</v>
      </c>
      <c r="D52" s="2" t="s">
        <v>149</v>
      </c>
      <c r="E52" s="2" t="s">
        <v>15</v>
      </c>
      <c r="F52" s="3">
        <v>0</v>
      </c>
      <c r="H52" s="1" t="s">
        <v>68</v>
      </c>
      <c r="J52" t="s">
        <v>146</v>
      </c>
      <c r="K52" t="s">
        <v>147</v>
      </c>
      <c r="L52" t="s">
        <v>148</v>
      </c>
    </row>
    <row r="53" spans="1:12" ht="15">
      <c r="A53" s="4">
        <v>201404</v>
      </c>
      <c r="B53" t="s">
        <v>145</v>
      </c>
      <c r="C53" s="5">
        <v>6531897</v>
      </c>
      <c r="D53" s="2" t="s">
        <v>149</v>
      </c>
      <c r="E53" s="2" t="s">
        <v>15</v>
      </c>
      <c r="F53" s="3">
        <v>0</v>
      </c>
      <c r="H53" s="1" t="s">
        <v>68</v>
      </c>
      <c r="J53" t="s">
        <v>146</v>
      </c>
      <c r="K53" t="s">
        <v>147</v>
      </c>
      <c r="L53" t="s">
        <v>148</v>
      </c>
    </row>
    <row r="54" spans="1:12" ht="15">
      <c r="A54" s="4">
        <v>201404</v>
      </c>
      <c r="B54" t="s">
        <v>145</v>
      </c>
      <c r="C54" s="5">
        <v>6531897</v>
      </c>
      <c r="D54" s="2" t="s">
        <v>149</v>
      </c>
      <c r="E54" s="2" t="s">
        <v>15</v>
      </c>
      <c r="F54" s="3">
        <v>0</v>
      </c>
      <c r="H54" s="1" t="s">
        <v>68</v>
      </c>
      <c r="J54" t="s">
        <v>146</v>
      </c>
      <c r="K54" t="s">
        <v>147</v>
      </c>
      <c r="L54" t="s">
        <v>148</v>
      </c>
    </row>
    <row r="55" spans="1:12" ht="15">
      <c r="A55" s="4">
        <v>201404</v>
      </c>
      <c r="B55" t="s">
        <v>145</v>
      </c>
      <c r="C55" s="5">
        <v>6531897</v>
      </c>
      <c r="D55" s="2" t="s">
        <v>149</v>
      </c>
      <c r="E55" s="2" t="s">
        <v>15</v>
      </c>
      <c r="F55" s="3">
        <v>0</v>
      </c>
      <c r="H55" s="1" t="s">
        <v>68</v>
      </c>
      <c r="J55" t="s">
        <v>146</v>
      </c>
      <c r="K55" t="s">
        <v>147</v>
      </c>
      <c r="L55" t="s">
        <v>148</v>
      </c>
    </row>
    <row r="56" spans="1:12" ht="15">
      <c r="A56" s="4">
        <v>201404</v>
      </c>
      <c r="B56" t="s">
        <v>145</v>
      </c>
      <c r="C56" s="5">
        <v>6531897</v>
      </c>
      <c r="D56" s="2" t="s">
        <v>149</v>
      </c>
      <c r="E56" s="2" t="s">
        <v>15</v>
      </c>
      <c r="F56" s="3">
        <v>0</v>
      </c>
      <c r="H56" s="1" t="s">
        <v>68</v>
      </c>
      <c r="J56" t="s">
        <v>146</v>
      </c>
      <c r="K56" t="s">
        <v>147</v>
      </c>
      <c r="L56" t="s">
        <v>148</v>
      </c>
    </row>
    <row r="57" spans="1:12" ht="15">
      <c r="A57" s="4">
        <v>201404</v>
      </c>
      <c r="B57" t="s">
        <v>145</v>
      </c>
      <c r="C57" s="5">
        <v>6531897</v>
      </c>
      <c r="D57" s="2" t="s">
        <v>149</v>
      </c>
      <c r="E57" s="2" t="s">
        <v>15</v>
      </c>
      <c r="F57" s="3">
        <v>30</v>
      </c>
      <c r="H57" s="1" t="s">
        <v>68</v>
      </c>
      <c r="J57" t="s">
        <v>146</v>
      </c>
      <c r="K57" t="s">
        <v>147</v>
      </c>
      <c r="L57" t="s">
        <v>148</v>
      </c>
    </row>
    <row r="58" spans="1:12" ht="15">
      <c r="A58" s="4">
        <v>201405</v>
      </c>
      <c r="B58" t="s">
        <v>145</v>
      </c>
      <c r="C58" s="5">
        <v>6531897</v>
      </c>
      <c r="D58" s="2" t="s">
        <v>149</v>
      </c>
      <c r="E58" s="2" t="s">
        <v>15</v>
      </c>
      <c r="F58" s="3">
        <v>0</v>
      </c>
      <c r="H58" s="1" t="s">
        <v>68</v>
      </c>
      <c r="J58" t="s">
        <v>146</v>
      </c>
      <c r="K58" t="s">
        <v>147</v>
      </c>
      <c r="L58" t="s">
        <v>148</v>
      </c>
    </row>
    <row r="59" spans="1:12" ht="15">
      <c r="A59" s="4">
        <v>201405</v>
      </c>
      <c r="B59" t="s">
        <v>145</v>
      </c>
      <c r="C59" s="5">
        <v>6531897</v>
      </c>
      <c r="D59" s="2" t="s">
        <v>149</v>
      </c>
      <c r="E59" s="2" t="s">
        <v>15</v>
      </c>
      <c r="F59" s="3">
        <v>12</v>
      </c>
      <c r="H59" s="1" t="s">
        <v>68</v>
      </c>
      <c r="J59" t="s">
        <v>146</v>
      </c>
      <c r="K59" t="s">
        <v>147</v>
      </c>
      <c r="L59" t="s">
        <v>148</v>
      </c>
    </row>
    <row r="60" spans="1:12" ht="15">
      <c r="A60" s="4">
        <v>201407</v>
      </c>
      <c r="B60" t="s">
        <v>145</v>
      </c>
      <c r="C60" s="5">
        <v>6576814</v>
      </c>
      <c r="D60" s="2" t="s">
        <v>168</v>
      </c>
      <c r="E60" s="2" t="s">
        <v>169</v>
      </c>
      <c r="F60" s="3">
        <v>0</v>
      </c>
      <c r="H60" s="1" t="s">
        <v>68</v>
      </c>
      <c r="J60" t="s">
        <v>146</v>
      </c>
      <c r="K60" t="s">
        <v>147</v>
      </c>
      <c r="L60" t="s">
        <v>148</v>
      </c>
    </row>
    <row r="61" spans="1:12" ht="15">
      <c r="A61" s="4">
        <v>201407</v>
      </c>
      <c r="B61" t="s">
        <v>145</v>
      </c>
      <c r="C61" s="5">
        <v>6576814</v>
      </c>
      <c r="D61" s="2" t="s">
        <v>168</v>
      </c>
      <c r="E61" s="2" t="s">
        <v>169</v>
      </c>
      <c r="F61" s="3">
        <v>6</v>
      </c>
      <c r="H61" s="1" t="s">
        <v>68</v>
      </c>
      <c r="J61" t="s">
        <v>146</v>
      </c>
      <c r="K61" t="s">
        <v>147</v>
      </c>
      <c r="L61" t="s">
        <v>148</v>
      </c>
    </row>
    <row r="62" spans="1:12" ht="15">
      <c r="A62" s="4">
        <v>201404</v>
      </c>
      <c r="B62" t="s">
        <v>170</v>
      </c>
      <c r="C62" s="5">
        <v>6561321</v>
      </c>
      <c r="D62" s="2" t="s">
        <v>174</v>
      </c>
      <c r="E62" s="2" t="s">
        <v>169</v>
      </c>
      <c r="F62" s="3">
        <v>6.55</v>
      </c>
      <c r="H62" s="1" t="s">
        <v>14</v>
      </c>
      <c r="I62" t="s">
        <v>27</v>
      </c>
      <c r="J62" t="s">
        <v>171</v>
      </c>
      <c r="K62" t="s">
        <v>172</v>
      </c>
      <c r="L62" t="s">
        <v>173</v>
      </c>
    </row>
    <row r="63" spans="1:12" ht="15">
      <c r="A63" s="4">
        <v>201404</v>
      </c>
      <c r="B63" t="s">
        <v>170</v>
      </c>
      <c r="C63" s="5">
        <v>6561321</v>
      </c>
      <c r="D63" s="2" t="s">
        <v>174</v>
      </c>
      <c r="E63" s="2" t="s">
        <v>169</v>
      </c>
      <c r="F63" s="3">
        <v>41.16</v>
      </c>
      <c r="H63" s="1" t="s">
        <v>14</v>
      </c>
      <c r="I63" t="s">
        <v>175</v>
      </c>
      <c r="J63" t="s">
        <v>171</v>
      </c>
      <c r="K63" t="s">
        <v>172</v>
      </c>
      <c r="L63" t="s">
        <v>173</v>
      </c>
    </row>
    <row r="64" spans="1:12" ht="15">
      <c r="A64" s="4">
        <v>201404</v>
      </c>
      <c r="B64" t="s">
        <v>170</v>
      </c>
      <c r="C64" s="5">
        <v>6561321</v>
      </c>
      <c r="D64" s="2" t="s">
        <v>174</v>
      </c>
      <c r="E64" s="2" t="s">
        <v>169</v>
      </c>
      <c r="F64" s="3">
        <v>66.46</v>
      </c>
      <c r="H64" s="1" t="s">
        <v>14</v>
      </c>
      <c r="I64" t="s">
        <v>89</v>
      </c>
      <c r="J64" t="s">
        <v>171</v>
      </c>
      <c r="K64" t="s">
        <v>172</v>
      </c>
      <c r="L64" t="s">
        <v>173</v>
      </c>
    </row>
    <row r="65" spans="1:12" ht="15">
      <c r="A65" s="4">
        <v>201404</v>
      </c>
      <c r="B65" t="s">
        <v>170</v>
      </c>
      <c r="C65" s="5">
        <v>6561321</v>
      </c>
      <c r="D65" s="2" t="s">
        <v>174</v>
      </c>
      <c r="E65" s="2" t="s">
        <v>169</v>
      </c>
      <c r="F65" s="3">
        <v>88.85</v>
      </c>
      <c r="H65" s="1" t="s">
        <v>14</v>
      </c>
      <c r="I65" t="s">
        <v>106</v>
      </c>
      <c r="J65" t="s">
        <v>171</v>
      </c>
      <c r="K65" t="s">
        <v>172</v>
      </c>
      <c r="L65" t="s">
        <v>173</v>
      </c>
    </row>
    <row r="66" spans="1:12" ht="15">
      <c r="A66" s="4">
        <v>201404</v>
      </c>
      <c r="B66" t="s">
        <v>170</v>
      </c>
      <c r="C66" s="5">
        <v>6561321</v>
      </c>
      <c r="D66" s="2" t="s">
        <v>174</v>
      </c>
      <c r="E66" s="2" t="s">
        <v>169</v>
      </c>
      <c r="F66" s="3">
        <v>92</v>
      </c>
      <c r="H66" s="1" t="s">
        <v>14</v>
      </c>
      <c r="I66" t="s">
        <v>176</v>
      </c>
      <c r="J66" t="s">
        <v>171</v>
      </c>
      <c r="K66" t="s">
        <v>172</v>
      </c>
      <c r="L66" t="s">
        <v>173</v>
      </c>
    </row>
    <row r="67" spans="1:13" ht="15">
      <c r="A67" s="4">
        <v>201406</v>
      </c>
      <c r="B67" t="s">
        <v>170</v>
      </c>
      <c r="C67" s="5">
        <v>6561321</v>
      </c>
      <c r="D67" s="2" t="s">
        <v>174</v>
      </c>
      <c r="E67" s="2" t="s">
        <v>169</v>
      </c>
      <c r="F67" s="3">
        <v>850</v>
      </c>
      <c r="G67" t="s">
        <v>177</v>
      </c>
      <c r="H67" s="1" t="s">
        <v>44</v>
      </c>
      <c r="I67" t="e">
        <f>-Clean switchgear-Delays</f>
        <v>#NAME?</v>
      </c>
      <c r="J67" t="s">
        <v>171</v>
      </c>
      <c r="K67" t="s">
        <v>172</v>
      </c>
      <c r="L67" t="s">
        <v>173</v>
      </c>
      <c r="M67">
        <v>903328</v>
      </c>
    </row>
    <row r="68" spans="1:13" ht="15">
      <c r="A68" s="4">
        <v>201406</v>
      </c>
      <c r="B68" t="s">
        <v>170</v>
      </c>
      <c r="C68" s="5">
        <v>6561321</v>
      </c>
      <c r="D68" s="2" t="s">
        <v>174</v>
      </c>
      <c r="E68" s="2" t="s">
        <v>169</v>
      </c>
      <c r="F68" s="3">
        <v>39655</v>
      </c>
      <c r="G68" t="s">
        <v>177</v>
      </c>
      <c r="H68" s="1" t="s">
        <v>44</v>
      </c>
      <c r="I68" t="s">
        <v>178</v>
      </c>
      <c r="J68" t="s">
        <v>171</v>
      </c>
      <c r="K68" t="s">
        <v>172</v>
      </c>
      <c r="L68" t="s">
        <v>173</v>
      </c>
      <c r="M68">
        <v>903328</v>
      </c>
    </row>
    <row r="69" spans="1:14" ht="15">
      <c r="A69" s="4">
        <v>201408</v>
      </c>
      <c r="B69" t="s">
        <v>170</v>
      </c>
      <c r="C69" s="5">
        <v>6561321</v>
      </c>
      <c r="D69" s="2" t="s">
        <v>174</v>
      </c>
      <c r="E69" s="2" t="s">
        <v>169</v>
      </c>
      <c r="F69" s="3">
        <v>131</v>
      </c>
      <c r="G69" t="s">
        <v>57</v>
      </c>
      <c r="H69" s="1" t="s">
        <v>60</v>
      </c>
      <c r="I69">
        <f>-40906/1408565463/1</f>
        <v>-2.9040893784856344E-05</v>
      </c>
      <c r="J69" t="s">
        <v>171</v>
      </c>
      <c r="K69" t="s">
        <v>172</v>
      </c>
      <c r="L69" t="s">
        <v>173</v>
      </c>
      <c r="N69" t="s">
        <v>58</v>
      </c>
    </row>
    <row r="70" spans="1:13" ht="15">
      <c r="A70" s="4">
        <v>201408</v>
      </c>
      <c r="B70" t="s">
        <v>170</v>
      </c>
      <c r="C70" s="5">
        <v>6561321</v>
      </c>
      <c r="D70" s="2" t="s">
        <v>174</v>
      </c>
      <c r="E70" s="2" t="s">
        <v>169</v>
      </c>
      <c r="F70" s="3">
        <v>2172.44</v>
      </c>
      <c r="G70" t="s">
        <v>59</v>
      </c>
      <c r="H70" s="1" t="s">
        <v>60</v>
      </c>
      <c r="I70" t="s">
        <v>179</v>
      </c>
      <c r="J70" t="s">
        <v>171</v>
      </c>
      <c r="K70" t="s">
        <v>172</v>
      </c>
      <c r="L70" t="s">
        <v>173</v>
      </c>
      <c r="M70">
        <v>911285</v>
      </c>
    </row>
    <row r="71" spans="1:12" ht="15">
      <c r="A71" s="4">
        <v>201407</v>
      </c>
      <c r="B71" t="s">
        <v>170</v>
      </c>
      <c r="C71" s="5">
        <v>6591710</v>
      </c>
      <c r="D71" s="2" t="s">
        <v>181</v>
      </c>
      <c r="E71" s="2" t="s">
        <v>99</v>
      </c>
      <c r="F71" s="3">
        <v>2423</v>
      </c>
      <c r="H71" s="1" t="s">
        <v>14</v>
      </c>
      <c r="I71" t="s">
        <v>180</v>
      </c>
      <c r="J71" t="s">
        <v>171</v>
      </c>
      <c r="K71" t="s">
        <v>172</v>
      </c>
      <c r="L71" t="s">
        <v>173</v>
      </c>
    </row>
    <row r="72" spans="1:13" ht="15">
      <c r="A72" s="4">
        <v>201408</v>
      </c>
      <c r="B72" t="s">
        <v>170</v>
      </c>
      <c r="C72" s="5">
        <v>6591710</v>
      </c>
      <c r="D72" s="2" t="s">
        <v>181</v>
      </c>
      <c r="E72" s="2" t="s">
        <v>99</v>
      </c>
      <c r="F72" s="3">
        <v>6025.25</v>
      </c>
      <c r="G72" t="s">
        <v>182</v>
      </c>
      <c r="H72" s="1" t="s">
        <v>44</v>
      </c>
      <c r="I72" t="s">
        <v>183</v>
      </c>
      <c r="J72" t="s">
        <v>171</v>
      </c>
      <c r="K72" t="s">
        <v>172</v>
      </c>
      <c r="L72" t="s">
        <v>173</v>
      </c>
      <c r="M72">
        <v>911755</v>
      </c>
    </row>
    <row r="73" spans="1:13" ht="15">
      <c r="A73" s="4">
        <v>201412</v>
      </c>
      <c r="B73" t="s">
        <v>170</v>
      </c>
      <c r="C73" s="5">
        <v>6591710</v>
      </c>
      <c r="D73" s="2" t="s">
        <v>181</v>
      </c>
      <c r="E73" s="2" t="s">
        <v>99</v>
      </c>
      <c r="F73" s="3">
        <v>7.16</v>
      </c>
      <c r="G73" t="s">
        <v>59</v>
      </c>
      <c r="H73" s="1" t="s">
        <v>60</v>
      </c>
      <c r="I73" t="s">
        <v>184</v>
      </c>
      <c r="J73" t="s">
        <v>171</v>
      </c>
      <c r="K73" t="s">
        <v>172</v>
      </c>
      <c r="L73" t="s">
        <v>173</v>
      </c>
      <c r="M73">
        <v>916488</v>
      </c>
    </row>
    <row r="74" spans="1:13" ht="15">
      <c r="A74" s="4">
        <v>201412</v>
      </c>
      <c r="B74" t="s">
        <v>170</v>
      </c>
      <c r="C74" s="5">
        <v>6591710</v>
      </c>
      <c r="D74" s="2" t="s">
        <v>181</v>
      </c>
      <c r="E74" s="2" t="s">
        <v>99</v>
      </c>
      <c r="F74" s="3">
        <v>8.4</v>
      </c>
      <c r="G74" t="s">
        <v>59</v>
      </c>
      <c r="H74" s="1" t="s">
        <v>60</v>
      </c>
      <c r="I74" t="s">
        <v>185</v>
      </c>
      <c r="J74" t="s">
        <v>171</v>
      </c>
      <c r="K74" t="s">
        <v>172</v>
      </c>
      <c r="L74" t="s">
        <v>173</v>
      </c>
      <c r="M74">
        <v>916488</v>
      </c>
    </row>
    <row r="75" spans="1:13" ht="15">
      <c r="A75" s="4">
        <v>201412</v>
      </c>
      <c r="B75" t="s">
        <v>170</v>
      </c>
      <c r="C75" s="5">
        <v>6591710</v>
      </c>
      <c r="D75" s="2" t="s">
        <v>181</v>
      </c>
      <c r="E75" s="2" t="s">
        <v>99</v>
      </c>
      <c r="F75" s="3">
        <v>9.8</v>
      </c>
      <c r="G75" t="s">
        <v>59</v>
      </c>
      <c r="H75" s="1" t="s">
        <v>60</v>
      </c>
      <c r="I75" t="s">
        <v>186</v>
      </c>
      <c r="J75" t="s">
        <v>171</v>
      </c>
      <c r="K75" t="s">
        <v>172</v>
      </c>
      <c r="L75" t="s">
        <v>173</v>
      </c>
      <c r="M75">
        <v>916488</v>
      </c>
    </row>
    <row r="76" spans="1:13" ht="15">
      <c r="A76" s="4">
        <v>201412</v>
      </c>
      <c r="B76" t="s">
        <v>170</v>
      </c>
      <c r="C76" s="5">
        <v>6591710</v>
      </c>
      <c r="D76" s="2" t="s">
        <v>181</v>
      </c>
      <c r="E76" s="2" t="s">
        <v>99</v>
      </c>
      <c r="F76" s="3">
        <v>10.5</v>
      </c>
      <c r="G76" t="s">
        <v>59</v>
      </c>
      <c r="H76" s="1" t="s">
        <v>60</v>
      </c>
      <c r="I76" t="s">
        <v>187</v>
      </c>
      <c r="J76" t="s">
        <v>171</v>
      </c>
      <c r="K76" t="s">
        <v>172</v>
      </c>
      <c r="L76" t="s">
        <v>173</v>
      </c>
      <c r="M76">
        <v>916488</v>
      </c>
    </row>
    <row r="77" spans="1:13" ht="15">
      <c r="A77" s="4">
        <v>201412</v>
      </c>
      <c r="B77" t="s">
        <v>170</v>
      </c>
      <c r="C77" s="5">
        <v>6591710</v>
      </c>
      <c r="D77" s="2" t="s">
        <v>181</v>
      </c>
      <c r="E77" s="2" t="s">
        <v>99</v>
      </c>
      <c r="F77" s="3">
        <v>11.7</v>
      </c>
      <c r="G77" t="s">
        <v>59</v>
      </c>
      <c r="H77" s="1" t="s">
        <v>60</v>
      </c>
      <c r="I77" t="s">
        <v>188</v>
      </c>
      <c r="J77" t="s">
        <v>171</v>
      </c>
      <c r="K77" t="s">
        <v>172</v>
      </c>
      <c r="L77" t="s">
        <v>173</v>
      </c>
      <c r="M77">
        <v>916488</v>
      </c>
    </row>
    <row r="78" spans="1:14" ht="15">
      <c r="A78" s="4">
        <v>201412</v>
      </c>
      <c r="B78" t="s">
        <v>170</v>
      </c>
      <c r="C78" s="5">
        <v>6591710</v>
      </c>
      <c r="D78" s="2" t="s">
        <v>181</v>
      </c>
      <c r="E78" s="2" t="s">
        <v>99</v>
      </c>
      <c r="F78" s="3">
        <v>12.42</v>
      </c>
      <c r="G78" t="s">
        <v>57</v>
      </c>
      <c r="H78" s="1" t="s">
        <v>60</v>
      </c>
      <c r="I78">
        <f>-40906/1410570891/1</f>
        <v>-2.8999605947490092E-05</v>
      </c>
      <c r="J78" t="s">
        <v>171</v>
      </c>
      <c r="K78" t="s">
        <v>172</v>
      </c>
      <c r="L78" t="s">
        <v>173</v>
      </c>
      <c r="N78" t="s">
        <v>58</v>
      </c>
    </row>
    <row r="79" spans="1:13" ht="15">
      <c r="A79" s="4">
        <v>201412</v>
      </c>
      <c r="B79" t="s">
        <v>170</v>
      </c>
      <c r="C79" s="5">
        <v>6591710</v>
      </c>
      <c r="D79" s="2" t="s">
        <v>181</v>
      </c>
      <c r="E79" s="2" t="s">
        <v>99</v>
      </c>
      <c r="F79" s="3">
        <v>18.8</v>
      </c>
      <c r="G79" t="s">
        <v>59</v>
      </c>
      <c r="H79" s="1" t="s">
        <v>60</v>
      </c>
      <c r="I79" t="s">
        <v>189</v>
      </c>
      <c r="J79" t="s">
        <v>171</v>
      </c>
      <c r="K79" t="s">
        <v>172</v>
      </c>
      <c r="L79" t="s">
        <v>173</v>
      </c>
      <c r="M79">
        <v>916488</v>
      </c>
    </row>
    <row r="80" spans="1:13" ht="15">
      <c r="A80" s="4">
        <v>201412</v>
      </c>
      <c r="B80" t="s">
        <v>170</v>
      </c>
      <c r="C80" s="5">
        <v>6591710</v>
      </c>
      <c r="D80" s="2" t="s">
        <v>181</v>
      </c>
      <c r="E80" s="2" t="s">
        <v>99</v>
      </c>
      <c r="F80" s="3">
        <v>40.76</v>
      </c>
      <c r="G80" t="s">
        <v>59</v>
      </c>
      <c r="H80" s="1" t="s">
        <v>60</v>
      </c>
      <c r="I80" t="e">
        <f>-BRACKET,OFFSET-Z-CABLE TRAY,PIVOTING OFFSET BRACKETS</f>
        <v>#NAME?</v>
      </c>
      <c r="J80" t="s">
        <v>171</v>
      </c>
      <c r="K80" t="s">
        <v>172</v>
      </c>
      <c r="L80" t="s">
        <v>173</v>
      </c>
      <c r="M80">
        <v>916488</v>
      </c>
    </row>
    <row r="81" spans="1:13" ht="15">
      <c r="A81" s="4">
        <v>201412</v>
      </c>
      <c r="B81" t="s">
        <v>170</v>
      </c>
      <c r="C81" s="5">
        <v>6591710</v>
      </c>
      <c r="D81" s="2" t="s">
        <v>181</v>
      </c>
      <c r="E81" s="2" t="s">
        <v>99</v>
      </c>
      <c r="F81" s="3">
        <v>46.36</v>
      </c>
      <c r="G81" t="s">
        <v>59</v>
      </c>
      <c r="H81" s="1" t="s">
        <v>60</v>
      </c>
      <c r="I81" t="s">
        <v>190</v>
      </c>
      <c r="J81" t="s">
        <v>171</v>
      </c>
      <c r="K81" t="s">
        <v>172</v>
      </c>
      <c r="L81" t="s">
        <v>173</v>
      </c>
      <c r="M81">
        <v>916488</v>
      </c>
    </row>
    <row r="82" spans="1:13" ht="15">
      <c r="A82" s="4">
        <v>201412</v>
      </c>
      <c r="B82" t="s">
        <v>170</v>
      </c>
      <c r="C82" s="5">
        <v>6591710</v>
      </c>
      <c r="D82" s="2" t="s">
        <v>181</v>
      </c>
      <c r="E82" s="2" t="s">
        <v>99</v>
      </c>
      <c r="F82" s="3">
        <v>53.42</v>
      </c>
      <c r="G82" t="s">
        <v>59</v>
      </c>
      <c r="H82" s="1" t="s">
        <v>60</v>
      </c>
      <c r="I82" t="s">
        <v>191</v>
      </c>
      <c r="J82" t="s">
        <v>171</v>
      </c>
      <c r="K82" t="s">
        <v>172</v>
      </c>
      <c r="L82" t="s">
        <v>173</v>
      </c>
      <c r="M82">
        <v>916488</v>
      </c>
    </row>
    <row r="83" spans="1:13" ht="15">
      <c r="A83" s="4">
        <v>201412</v>
      </c>
      <c r="B83" t="s">
        <v>170</v>
      </c>
      <c r="C83" s="5">
        <v>6591710</v>
      </c>
      <c r="D83" s="2" t="s">
        <v>181</v>
      </c>
      <c r="E83" s="2" t="s">
        <v>99</v>
      </c>
      <c r="F83" s="3">
        <v>64.32</v>
      </c>
      <c r="G83" t="s">
        <v>59</v>
      </c>
      <c r="H83" s="1" t="s">
        <v>60</v>
      </c>
      <c r="I83" t="s">
        <v>192</v>
      </c>
      <c r="J83" t="s">
        <v>171</v>
      </c>
      <c r="K83" t="s">
        <v>172</v>
      </c>
      <c r="L83" t="s">
        <v>173</v>
      </c>
      <c r="M83">
        <v>918769</v>
      </c>
    </row>
    <row r="84" spans="1:14" ht="15">
      <c r="A84" s="4">
        <v>201412</v>
      </c>
      <c r="B84" t="s">
        <v>170</v>
      </c>
      <c r="C84" s="5">
        <v>6591710</v>
      </c>
      <c r="D84" s="2" t="s">
        <v>181</v>
      </c>
      <c r="E84" s="2" t="s">
        <v>99</v>
      </c>
      <c r="F84" s="3">
        <v>101.29</v>
      </c>
      <c r="G84" t="s">
        <v>57</v>
      </c>
      <c r="H84" s="1" t="s">
        <v>60</v>
      </c>
      <c r="I84">
        <f>-40906/1412573463/1</f>
        <v>-2.8958493891796976E-05</v>
      </c>
      <c r="J84" t="s">
        <v>171</v>
      </c>
      <c r="K84" t="s">
        <v>172</v>
      </c>
      <c r="L84" t="s">
        <v>173</v>
      </c>
      <c r="N84" t="s">
        <v>58</v>
      </c>
    </row>
    <row r="85" spans="1:13" ht="15">
      <c r="A85" s="4">
        <v>201412</v>
      </c>
      <c r="B85" t="s">
        <v>170</v>
      </c>
      <c r="C85" s="5">
        <v>6591710</v>
      </c>
      <c r="D85" s="2" t="s">
        <v>181</v>
      </c>
      <c r="E85" s="2" t="s">
        <v>99</v>
      </c>
      <c r="F85" s="3">
        <v>107.23</v>
      </c>
      <c r="G85" t="s">
        <v>59</v>
      </c>
      <c r="H85" s="1" t="s">
        <v>60</v>
      </c>
      <c r="I85" t="s">
        <v>193</v>
      </c>
      <c r="J85" t="s">
        <v>171</v>
      </c>
      <c r="K85" t="s">
        <v>172</v>
      </c>
      <c r="L85" t="s">
        <v>173</v>
      </c>
      <c r="M85">
        <v>918769</v>
      </c>
    </row>
    <row r="86" spans="1:13" ht="15">
      <c r="A86" s="4">
        <v>201412</v>
      </c>
      <c r="B86" t="s">
        <v>170</v>
      </c>
      <c r="C86" s="5">
        <v>6591710</v>
      </c>
      <c r="D86" s="2" t="s">
        <v>181</v>
      </c>
      <c r="E86" s="2" t="s">
        <v>99</v>
      </c>
      <c r="F86" s="3">
        <v>1508.09</v>
      </c>
      <c r="G86" t="s">
        <v>59</v>
      </c>
      <c r="H86" s="1" t="s">
        <v>60</v>
      </c>
      <c r="I86" t="s">
        <v>194</v>
      </c>
      <c r="J86" t="s">
        <v>171</v>
      </c>
      <c r="K86" t="s">
        <v>172</v>
      </c>
      <c r="L86" t="s">
        <v>173</v>
      </c>
      <c r="M86">
        <v>918769</v>
      </c>
    </row>
    <row r="87" spans="1:12" ht="15">
      <c r="A87" s="4">
        <v>201407</v>
      </c>
      <c r="B87" t="s">
        <v>170</v>
      </c>
      <c r="C87" s="5">
        <v>6591710</v>
      </c>
      <c r="D87" s="2" t="s">
        <v>181</v>
      </c>
      <c r="E87" s="2" t="s">
        <v>99</v>
      </c>
      <c r="F87" s="3">
        <v>1033.68</v>
      </c>
      <c r="H87" s="1" t="s">
        <v>66</v>
      </c>
      <c r="I87" t="s">
        <v>67</v>
      </c>
      <c r="J87" t="s">
        <v>171</v>
      </c>
      <c r="K87" t="s">
        <v>172</v>
      </c>
      <c r="L87" t="s">
        <v>173</v>
      </c>
    </row>
    <row r="88" spans="1:12" ht="15">
      <c r="A88" s="4">
        <v>201409</v>
      </c>
      <c r="B88" t="s">
        <v>170</v>
      </c>
      <c r="C88" s="5">
        <v>6591710</v>
      </c>
      <c r="D88" s="2" t="s">
        <v>181</v>
      </c>
      <c r="E88" s="2" t="s">
        <v>99</v>
      </c>
      <c r="F88" s="3">
        <v>195.02</v>
      </c>
      <c r="H88" s="1" t="s">
        <v>66</v>
      </c>
      <c r="I88" t="s">
        <v>67</v>
      </c>
      <c r="J88" t="s">
        <v>171</v>
      </c>
      <c r="K88" t="s">
        <v>172</v>
      </c>
      <c r="L88" t="s">
        <v>173</v>
      </c>
    </row>
    <row r="89" spans="1:12" ht="15">
      <c r="A89" s="4">
        <v>201407</v>
      </c>
      <c r="B89" t="s">
        <v>170</v>
      </c>
      <c r="C89" s="5">
        <v>6591710</v>
      </c>
      <c r="D89" s="2" t="s">
        <v>181</v>
      </c>
      <c r="E89" s="2" t="s">
        <v>99</v>
      </c>
      <c r="F89" s="3">
        <v>0</v>
      </c>
      <c r="H89" s="1" t="s">
        <v>68</v>
      </c>
      <c r="J89" t="s">
        <v>171</v>
      </c>
      <c r="K89" t="s">
        <v>172</v>
      </c>
      <c r="L89" t="s">
        <v>173</v>
      </c>
    </row>
    <row r="90" spans="1:12" ht="15">
      <c r="A90" s="4">
        <v>201407</v>
      </c>
      <c r="B90" t="s">
        <v>170</v>
      </c>
      <c r="C90" s="5">
        <v>6591710</v>
      </c>
      <c r="D90" s="2" t="s">
        <v>181</v>
      </c>
      <c r="E90" s="2" t="s">
        <v>99</v>
      </c>
      <c r="F90" s="3">
        <v>0</v>
      </c>
      <c r="H90" s="1" t="s">
        <v>68</v>
      </c>
      <c r="J90" t="s">
        <v>171</v>
      </c>
      <c r="K90" t="s">
        <v>172</v>
      </c>
      <c r="L90" t="s">
        <v>173</v>
      </c>
    </row>
    <row r="91" spans="1:12" ht="15">
      <c r="A91" s="4">
        <v>201407</v>
      </c>
      <c r="B91" t="s">
        <v>170</v>
      </c>
      <c r="C91" s="5">
        <v>6591710</v>
      </c>
      <c r="D91" s="2" t="s">
        <v>181</v>
      </c>
      <c r="E91" s="2" t="s">
        <v>99</v>
      </c>
      <c r="F91" s="3">
        <v>0</v>
      </c>
      <c r="H91" s="1" t="s">
        <v>68</v>
      </c>
      <c r="J91" t="s">
        <v>171</v>
      </c>
      <c r="K91" t="s">
        <v>172</v>
      </c>
      <c r="L91" t="s">
        <v>173</v>
      </c>
    </row>
    <row r="92" spans="1:12" ht="15">
      <c r="A92" s="4">
        <v>201407</v>
      </c>
      <c r="B92" t="s">
        <v>170</v>
      </c>
      <c r="C92" s="5">
        <v>6591710</v>
      </c>
      <c r="D92" s="2" t="s">
        <v>181</v>
      </c>
      <c r="E92" s="2" t="s">
        <v>99</v>
      </c>
      <c r="F92" s="3">
        <v>0</v>
      </c>
      <c r="H92" s="1" t="s">
        <v>68</v>
      </c>
      <c r="J92" t="s">
        <v>171</v>
      </c>
      <c r="K92" t="s">
        <v>172</v>
      </c>
      <c r="L92" t="s">
        <v>173</v>
      </c>
    </row>
    <row r="93" spans="1:12" ht="15">
      <c r="A93" s="4">
        <v>201407</v>
      </c>
      <c r="B93" t="s">
        <v>170</v>
      </c>
      <c r="C93" s="5">
        <v>6591710</v>
      </c>
      <c r="D93" s="2" t="s">
        <v>181</v>
      </c>
      <c r="E93" s="2" t="s">
        <v>99</v>
      </c>
      <c r="F93" s="3">
        <v>0</v>
      </c>
      <c r="H93" s="1" t="s">
        <v>68</v>
      </c>
      <c r="J93" t="s">
        <v>171</v>
      </c>
      <c r="K93" t="s">
        <v>172</v>
      </c>
      <c r="L93" t="s">
        <v>173</v>
      </c>
    </row>
    <row r="94" spans="1:12" ht="15">
      <c r="A94" s="4">
        <v>201407</v>
      </c>
      <c r="B94" t="s">
        <v>170</v>
      </c>
      <c r="C94" s="5">
        <v>6591710</v>
      </c>
      <c r="D94" s="2" t="s">
        <v>181</v>
      </c>
      <c r="E94" s="2" t="s">
        <v>99</v>
      </c>
      <c r="F94" s="3">
        <v>0</v>
      </c>
      <c r="H94" s="1" t="s">
        <v>68</v>
      </c>
      <c r="J94" t="s">
        <v>171</v>
      </c>
      <c r="K94" t="s">
        <v>172</v>
      </c>
      <c r="L94" t="s">
        <v>173</v>
      </c>
    </row>
    <row r="95" spans="1:12" ht="15">
      <c r="A95" s="4">
        <v>201407</v>
      </c>
      <c r="B95" t="s">
        <v>170</v>
      </c>
      <c r="C95" s="5">
        <v>6591710</v>
      </c>
      <c r="D95" s="2" t="s">
        <v>181</v>
      </c>
      <c r="E95" s="2" t="s">
        <v>99</v>
      </c>
      <c r="F95" s="3">
        <v>0</v>
      </c>
      <c r="H95" s="1" t="s">
        <v>68</v>
      </c>
      <c r="J95" t="s">
        <v>171</v>
      </c>
      <c r="K95" t="s">
        <v>172</v>
      </c>
      <c r="L95" t="s">
        <v>173</v>
      </c>
    </row>
    <row r="96" spans="1:12" ht="15">
      <c r="A96" s="4">
        <v>201407</v>
      </c>
      <c r="B96" t="s">
        <v>170</v>
      </c>
      <c r="C96" s="5">
        <v>6591710</v>
      </c>
      <c r="D96" s="2" t="s">
        <v>181</v>
      </c>
      <c r="E96" s="2" t="s">
        <v>99</v>
      </c>
      <c r="F96" s="3">
        <v>0</v>
      </c>
      <c r="H96" s="1" t="s">
        <v>68</v>
      </c>
      <c r="J96" t="s">
        <v>171</v>
      </c>
      <c r="K96" t="s">
        <v>172</v>
      </c>
      <c r="L96" t="s">
        <v>173</v>
      </c>
    </row>
    <row r="97" spans="1:12" ht="15">
      <c r="A97" s="4">
        <v>201407</v>
      </c>
      <c r="B97" t="s">
        <v>170</v>
      </c>
      <c r="C97" s="5">
        <v>6591710</v>
      </c>
      <c r="D97" s="2" t="s">
        <v>181</v>
      </c>
      <c r="E97" s="2" t="s">
        <v>99</v>
      </c>
      <c r="F97" s="3">
        <v>0</v>
      </c>
      <c r="H97" s="1" t="s">
        <v>68</v>
      </c>
      <c r="J97" t="s">
        <v>171</v>
      </c>
      <c r="K97" t="s">
        <v>172</v>
      </c>
      <c r="L97" t="s">
        <v>173</v>
      </c>
    </row>
    <row r="98" spans="1:12" ht="15">
      <c r="A98" s="4">
        <v>201407</v>
      </c>
      <c r="B98" t="s">
        <v>170</v>
      </c>
      <c r="C98" s="5">
        <v>6591710</v>
      </c>
      <c r="D98" s="2" t="s">
        <v>181</v>
      </c>
      <c r="E98" s="2" t="s">
        <v>99</v>
      </c>
      <c r="F98" s="3">
        <v>0</v>
      </c>
      <c r="H98" s="1" t="s">
        <v>68</v>
      </c>
      <c r="J98" t="s">
        <v>171</v>
      </c>
      <c r="K98" t="s">
        <v>172</v>
      </c>
      <c r="L98" t="s">
        <v>173</v>
      </c>
    </row>
    <row r="99" spans="1:12" ht="15">
      <c r="A99" s="4">
        <v>201407</v>
      </c>
      <c r="B99" t="s">
        <v>170</v>
      </c>
      <c r="C99" s="5">
        <v>6591710</v>
      </c>
      <c r="D99" s="2" t="s">
        <v>181</v>
      </c>
      <c r="E99" s="2" t="s">
        <v>99</v>
      </c>
      <c r="F99" s="3">
        <v>0</v>
      </c>
      <c r="H99" s="1" t="s">
        <v>68</v>
      </c>
      <c r="J99" t="s">
        <v>171</v>
      </c>
      <c r="K99" t="s">
        <v>172</v>
      </c>
      <c r="L99" t="s">
        <v>173</v>
      </c>
    </row>
    <row r="100" spans="1:12" ht="15">
      <c r="A100" s="4">
        <v>201407</v>
      </c>
      <c r="B100" t="s">
        <v>170</v>
      </c>
      <c r="C100" s="5">
        <v>6591710</v>
      </c>
      <c r="D100" s="2" t="s">
        <v>181</v>
      </c>
      <c r="E100" s="2" t="s">
        <v>99</v>
      </c>
      <c r="F100" s="3">
        <v>0</v>
      </c>
      <c r="H100" s="1" t="s">
        <v>68</v>
      </c>
      <c r="J100" t="s">
        <v>171</v>
      </c>
      <c r="K100" t="s">
        <v>172</v>
      </c>
      <c r="L100" t="s">
        <v>173</v>
      </c>
    </row>
    <row r="101" spans="1:12" ht="15">
      <c r="A101" s="4">
        <v>201407</v>
      </c>
      <c r="B101" t="s">
        <v>170</v>
      </c>
      <c r="C101" s="5">
        <v>6591710</v>
      </c>
      <c r="D101" s="2" t="s">
        <v>181</v>
      </c>
      <c r="E101" s="2" t="s">
        <v>99</v>
      </c>
      <c r="F101" s="3">
        <v>66</v>
      </c>
      <c r="H101" s="1" t="s">
        <v>68</v>
      </c>
      <c r="J101" t="s">
        <v>171</v>
      </c>
      <c r="K101" t="s">
        <v>172</v>
      </c>
      <c r="L101" t="s">
        <v>173</v>
      </c>
    </row>
    <row r="102" spans="1:12" ht="15">
      <c r="A102" s="4">
        <v>201407</v>
      </c>
      <c r="B102" t="s">
        <v>170</v>
      </c>
      <c r="C102" s="5">
        <v>6591710</v>
      </c>
      <c r="D102" s="2" t="s">
        <v>181</v>
      </c>
      <c r="E102" s="2" t="s">
        <v>99</v>
      </c>
      <c r="F102" s="3">
        <v>162</v>
      </c>
      <c r="H102" s="1" t="s">
        <v>68</v>
      </c>
      <c r="J102" t="s">
        <v>171</v>
      </c>
      <c r="K102" t="s">
        <v>172</v>
      </c>
      <c r="L102" t="s">
        <v>173</v>
      </c>
    </row>
    <row r="103" spans="1:12" ht="15">
      <c r="A103" s="4">
        <v>201405</v>
      </c>
      <c r="B103" t="s">
        <v>195</v>
      </c>
      <c r="C103" s="5">
        <v>6532525</v>
      </c>
      <c r="D103" s="2" t="s">
        <v>199</v>
      </c>
      <c r="E103" s="2" t="s">
        <v>15</v>
      </c>
      <c r="F103" s="3">
        <v>94.52</v>
      </c>
      <c r="H103" s="1" t="s">
        <v>14</v>
      </c>
      <c r="I103" t="s">
        <v>108</v>
      </c>
      <c r="J103" t="s">
        <v>196</v>
      </c>
      <c r="K103" t="s">
        <v>197</v>
      </c>
      <c r="L103" t="s">
        <v>198</v>
      </c>
    </row>
    <row r="104" spans="1:12" ht="15">
      <c r="A104" s="4">
        <v>201406</v>
      </c>
      <c r="B104" t="s">
        <v>195</v>
      </c>
      <c r="C104" s="5">
        <v>6532525</v>
      </c>
      <c r="D104" s="2" t="s">
        <v>199</v>
      </c>
      <c r="E104" s="2" t="s">
        <v>15</v>
      </c>
      <c r="F104" s="3">
        <v>7.42</v>
      </c>
      <c r="H104" s="1" t="s">
        <v>14</v>
      </c>
      <c r="I104" t="s">
        <v>33</v>
      </c>
      <c r="J104" t="s">
        <v>196</v>
      </c>
      <c r="K104" t="s">
        <v>197</v>
      </c>
      <c r="L104" t="s">
        <v>198</v>
      </c>
    </row>
    <row r="105" spans="1:12" ht="15">
      <c r="A105" s="4">
        <v>201406</v>
      </c>
      <c r="B105" t="s">
        <v>195</v>
      </c>
      <c r="C105" s="5">
        <v>6532525</v>
      </c>
      <c r="D105" s="2" t="s">
        <v>199</v>
      </c>
      <c r="E105" s="2" t="s">
        <v>15</v>
      </c>
      <c r="F105" s="3">
        <v>7.95</v>
      </c>
      <c r="H105" s="1" t="s">
        <v>14</v>
      </c>
      <c r="I105" t="s">
        <v>200</v>
      </c>
      <c r="J105" t="s">
        <v>196</v>
      </c>
      <c r="K105" t="s">
        <v>197</v>
      </c>
      <c r="L105" t="s">
        <v>198</v>
      </c>
    </row>
    <row r="106" spans="1:12" ht="15">
      <c r="A106" s="4">
        <v>201406</v>
      </c>
      <c r="B106" t="s">
        <v>195</v>
      </c>
      <c r="C106" s="5">
        <v>6532525</v>
      </c>
      <c r="D106" s="2" t="s">
        <v>199</v>
      </c>
      <c r="E106" s="2" t="s">
        <v>15</v>
      </c>
      <c r="F106" s="3">
        <v>53.04</v>
      </c>
      <c r="H106" s="1" t="s">
        <v>14</v>
      </c>
      <c r="I106" t="s">
        <v>41</v>
      </c>
      <c r="J106" t="s">
        <v>196</v>
      </c>
      <c r="K106" t="s">
        <v>197</v>
      </c>
      <c r="L106" t="s">
        <v>198</v>
      </c>
    </row>
    <row r="107" spans="1:12" ht="15">
      <c r="A107" s="4">
        <v>201406</v>
      </c>
      <c r="B107" t="s">
        <v>195</v>
      </c>
      <c r="C107" s="5">
        <v>6532525</v>
      </c>
      <c r="D107" s="2" t="s">
        <v>199</v>
      </c>
      <c r="E107" s="2" t="s">
        <v>15</v>
      </c>
      <c r="F107" s="3">
        <v>71.08</v>
      </c>
      <c r="H107" s="1" t="s">
        <v>14</v>
      </c>
      <c r="I107" t="s">
        <v>106</v>
      </c>
      <c r="J107" t="s">
        <v>196</v>
      </c>
      <c r="K107" t="s">
        <v>197</v>
      </c>
      <c r="L107" t="s">
        <v>198</v>
      </c>
    </row>
    <row r="108" spans="1:12" ht="15">
      <c r="A108" s="4">
        <v>201406</v>
      </c>
      <c r="B108" t="s">
        <v>195</v>
      </c>
      <c r="C108" s="5">
        <v>6532525</v>
      </c>
      <c r="D108" s="2" t="s">
        <v>199</v>
      </c>
      <c r="E108" s="2" t="s">
        <v>15</v>
      </c>
      <c r="F108" s="3">
        <v>159.5</v>
      </c>
      <c r="H108" s="1" t="s">
        <v>14</v>
      </c>
      <c r="I108" t="s">
        <v>89</v>
      </c>
      <c r="J108" t="s">
        <v>196</v>
      </c>
      <c r="K108" t="s">
        <v>197</v>
      </c>
      <c r="L108" t="s">
        <v>198</v>
      </c>
    </row>
    <row r="109" spans="1:13" ht="15">
      <c r="A109" s="4">
        <v>201405</v>
      </c>
      <c r="B109" t="s">
        <v>195</v>
      </c>
      <c r="C109" s="5">
        <v>6532525</v>
      </c>
      <c r="D109" s="2" t="s">
        <v>199</v>
      </c>
      <c r="E109" s="2" t="s">
        <v>15</v>
      </c>
      <c r="F109" s="3">
        <v>2500</v>
      </c>
      <c r="G109" t="s">
        <v>201</v>
      </c>
      <c r="H109" s="1" t="s">
        <v>44</v>
      </c>
      <c r="I109" t="s">
        <v>202</v>
      </c>
      <c r="J109" t="s">
        <v>196</v>
      </c>
      <c r="K109" t="s">
        <v>197</v>
      </c>
      <c r="L109" t="s">
        <v>198</v>
      </c>
      <c r="M109">
        <v>903048</v>
      </c>
    </row>
    <row r="110" spans="1:13" ht="15">
      <c r="A110" s="4">
        <v>201406</v>
      </c>
      <c r="B110" t="s">
        <v>195</v>
      </c>
      <c r="C110" s="5">
        <v>6532525</v>
      </c>
      <c r="D110" s="2" t="s">
        <v>199</v>
      </c>
      <c r="E110" s="2" t="s">
        <v>15</v>
      </c>
      <c r="F110" s="3">
        <v>4053</v>
      </c>
      <c r="G110" t="s">
        <v>203</v>
      </c>
      <c r="H110" s="1" t="s">
        <v>44</v>
      </c>
      <c r="I110" t="s">
        <v>204</v>
      </c>
      <c r="J110" t="s">
        <v>196</v>
      </c>
      <c r="K110" t="s">
        <v>197</v>
      </c>
      <c r="L110" t="s">
        <v>198</v>
      </c>
      <c r="M110">
        <v>901509</v>
      </c>
    </row>
    <row r="111" spans="1:13" ht="15">
      <c r="A111" s="4">
        <v>201406</v>
      </c>
      <c r="B111" t="s">
        <v>195</v>
      </c>
      <c r="C111" s="5">
        <v>6532525</v>
      </c>
      <c r="D111" s="2" t="s">
        <v>199</v>
      </c>
      <c r="E111" s="2" t="s">
        <v>15</v>
      </c>
      <c r="F111" s="3">
        <v>4503</v>
      </c>
      <c r="G111" t="s">
        <v>203</v>
      </c>
      <c r="H111" s="1" t="s">
        <v>44</v>
      </c>
      <c r="I111" t="s">
        <v>205</v>
      </c>
      <c r="J111" t="s">
        <v>196</v>
      </c>
      <c r="K111" t="s">
        <v>197</v>
      </c>
      <c r="L111" t="s">
        <v>198</v>
      </c>
      <c r="M111">
        <v>901509</v>
      </c>
    </row>
    <row r="112" spans="1:13" ht="15">
      <c r="A112" s="4">
        <v>201406</v>
      </c>
      <c r="B112" t="s">
        <v>195</v>
      </c>
      <c r="C112" s="5">
        <v>6532525</v>
      </c>
      <c r="D112" s="2" t="s">
        <v>199</v>
      </c>
      <c r="E112" s="2" t="s">
        <v>15</v>
      </c>
      <c r="F112" s="3">
        <v>6029.53</v>
      </c>
      <c r="G112" t="s">
        <v>206</v>
      </c>
      <c r="H112" s="1" t="s">
        <v>44</v>
      </c>
      <c r="I112" t="e">
        <f>-labor-Eaton Technical Advisor TO assist with clutch INSPECTION and REPAIR</f>
        <v>#NAME?</v>
      </c>
      <c r="J112" t="s">
        <v>196</v>
      </c>
      <c r="K112" t="s">
        <v>197</v>
      </c>
      <c r="L112" t="s">
        <v>198</v>
      </c>
      <c r="M112">
        <v>904214</v>
      </c>
    </row>
    <row r="113" spans="1:13" ht="15">
      <c r="A113" s="4">
        <v>201406</v>
      </c>
      <c r="B113" t="s">
        <v>195</v>
      </c>
      <c r="C113" s="5">
        <v>6532525</v>
      </c>
      <c r="D113" s="2" t="s">
        <v>199</v>
      </c>
      <c r="E113" s="2" t="s">
        <v>15</v>
      </c>
      <c r="F113" s="3">
        <v>26068</v>
      </c>
      <c r="G113" t="s">
        <v>203</v>
      </c>
      <c r="H113" s="1" t="s">
        <v>44</v>
      </c>
      <c r="I113" t="s">
        <v>207</v>
      </c>
      <c r="J113" t="s">
        <v>196</v>
      </c>
      <c r="K113" t="s">
        <v>197</v>
      </c>
      <c r="L113" t="s">
        <v>198</v>
      </c>
      <c r="M113">
        <v>901509</v>
      </c>
    </row>
    <row r="114" spans="1:13" ht="15">
      <c r="A114" s="4">
        <v>201406</v>
      </c>
      <c r="B114" t="s">
        <v>195</v>
      </c>
      <c r="C114" s="5">
        <v>6532525</v>
      </c>
      <c r="D114" s="2" t="s">
        <v>199</v>
      </c>
      <c r="E114" s="2" t="s">
        <v>15</v>
      </c>
      <c r="F114" s="3">
        <v>61300</v>
      </c>
      <c r="G114" t="s">
        <v>203</v>
      </c>
      <c r="H114" s="1" t="s">
        <v>44</v>
      </c>
      <c r="I114" t="s">
        <v>208</v>
      </c>
      <c r="J114" t="s">
        <v>196</v>
      </c>
      <c r="K114" t="s">
        <v>197</v>
      </c>
      <c r="L114" t="s">
        <v>198</v>
      </c>
      <c r="M114">
        <v>901509</v>
      </c>
    </row>
    <row r="115" spans="1:13" ht="15">
      <c r="A115" s="4">
        <v>201407</v>
      </c>
      <c r="B115" t="s">
        <v>195</v>
      </c>
      <c r="C115" s="5">
        <v>6532525</v>
      </c>
      <c r="D115" s="2" t="s">
        <v>199</v>
      </c>
      <c r="E115" s="2" t="s">
        <v>15</v>
      </c>
      <c r="F115" s="3">
        <v>9067.88</v>
      </c>
      <c r="G115" t="s">
        <v>93</v>
      </c>
      <c r="H115" s="1" t="s">
        <v>44</v>
      </c>
      <c r="I115" t="e">
        <f>-labor-T+M work TO bore out GEARBOX sole PLATE BOLT holes TO provide more movement FOR alignment</f>
        <v>#NAME?</v>
      </c>
      <c r="J115" t="s">
        <v>196</v>
      </c>
      <c r="K115" t="s">
        <v>197</v>
      </c>
      <c r="L115" t="s">
        <v>198</v>
      </c>
      <c r="M115">
        <v>907691</v>
      </c>
    </row>
    <row r="116" spans="1:13" ht="15">
      <c r="A116" s="4">
        <v>201407</v>
      </c>
      <c r="B116" t="s">
        <v>195</v>
      </c>
      <c r="C116" s="5">
        <v>6532525</v>
      </c>
      <c r="D116" s="2" t="s">
        <v>199</v>
      </c>
      <c r="E116" s="2" t="s">
        <v>15</v>
      </c>
      <c r="F116" s="3">
        <v>27119.04</v>
      </c>
      <c r="G116" t="s">
        <v>206</v>
      </c>
      <c r="H116" s="1" t="s">
        <v>44</v>
      </c>
      <c r="I116" t="e">
        <f>-labor-Eaton Technical Advisor TO assist with clutch INSPECTION and REPAIR</f>
        <v>#NAME?</v>
      </c>
      <c r="J116" t="s">
        <v>196</v>
      </c>
      <c r="K116" t="s">
        <v>197</v>
      </c>
      <c r="L116" t="s">
        <v>198</v>
      </c>
      <c r="M116">
        <v>904214</v>
      </c>
    </row>
    <row r="117" spans="1:13" ht="15">
      <c r="A117" s="4">
        <v>201408</v>
      </c>
      <c r="B117" t="s">
        <v>195</v>
      </c>
      <c r="C117" s="5">
        <v>6532525</v>
      </c>
      <c r="D117" s="2" t="s">
        <v>199</v>
      </c>
      <c r="E117" s="2" t="s">
        <v>15</v>
      </c>
      <c r="F117" s="3">
        <v>41134.91</v>
      </c>
      <c r="G117" t="s">
        <v>209</v>
      </c>
      <c r="H117" s="1" t="s">
        <v>44</v>
      </c>
      <c r="I117" t="s">
        <v>210</v>
      </c>
      <c r="J117" t="s">
        <v>196</v>
      </c>
      <c r="K117" t="s">
        <v>197</v>
      </c>
      <c r="L117" t="s">
        <v>198</v>
      </c>
      <c r="M117">
        <v>900400</v>
      </c>
    </row>
    <row r="118" spans="1:13" ht="15">
      <c r="A118" s="4">
        <v>201409</v>
      </c>
      <c r="B118" t="s">
        <v>195</v>
      </c>
      <c r="C118" s="5">
        <v>6532525</v>
      </c>
      <c r="D118" s="2" t="s">
        <v>199</v>
      </c>
      <c r="E118" s="2" t="s">
        <v>15</v>
      </c>
      <c r="F118" s="3">
        <v>440</v>
      </c>
      <c r="G118" t="s">
        <v>211</v>
      </c>
      <c r="H118" s="1" t="s">
        <v>44</v>
      </c>
      <c r="I118" t="e">
        <f>-labor TO PERFORM MAG PARTICLE INSPECTION on clutch PARTS</f>
        <v>#NAME?</v>
      </c>
      <c r="J118" t="s">
        <v>196</v>
      </c>
      <c r="K118" t="s">
        <v>197</v>
      </c>
      <c r="L118" t="s">
        <v>198</v>
      </c>
      <c r="M118">
        <v>911040</v>
      </c>
    </row>
    <row r="119" spans="1:13" ht="15">
      <c r="A119" s="4">
        <v>201409</v>
      </c>
      <c r="B119" t="s">
        <v>195</v>
      </c>
      <c r="C119" s="5">
        <v>6532525</v>
      </c>
      <c r="D119" s="2" t="s">
        <v>199</v>
      </c>
      <c r="E119" s="2" t="s">
        <v>15</v>
      </c>
      <c r="F119" s="3">
        <v>16835.64</v>
      </c>
      <c r="G119" t="s">
        <v>203</v>
      </c>
      <c r="H119" s="1" t="s">
        <v>44</v>
      </c>
      <c r="I119" t="s">
        <v>212</v>
      </c>
      <c r="J119" t="s">
        <v>196</v>
      </c>
      <c r="K119" t="s">
        <v>197</v>
      </c>
      <c r="L119" t="s">
        <v>198</v>
      </c>
      <c r="M119">
        <v>901509</v>
      </c>
    </row>
    <row r="120" spans="1:13" ht="15">
      <c r="A120" s="4">
        <v>201409</v>
      </c>
      <c r="B120" t="s">
        <v>195</v>
      </c>
      <c r="C120" s="5">
        <v>6532525</v>
      </c>
      <c r="D120" s="2" t="s">
        <v>199</v>
      </c>
      <c r="E120" s="2" t="s">
        <v>15</v>
      </c>
      <c r="F120" s="3">
        <v>81.5</v>
      </c>
      <c r="G120" t="s">
        <v>211</v>
      </c>
      <c r="H120" s="1" t="s">
        <v>78</v>
      </c>
      <c r="I120" t="e">
        <f>-MATERIAL TO PERFORM MAG PARTICLE INSPECTION on clutch PARTS</f>
        <v>#NAME?</v>
      </c>
      <c r="J120" t="s">
        <v>196</v>
      </c>
      <c r="K120" t="s">
        <v>197</v>
      </c>
      <c r="L120" t="s">
        <v>198</v>
      </c>
      <c r="M120">
        <v>911040</v>
      </c>
    </row>
    <row r="121" spans="1:13" ht="15">
      <c r="A121" s="4">
        <v>201405</v>
      </c>
      <c r="B121" t="s">
        <v>195</v>
      </c>
      <c r="C121" s="5">
        <v>6532525</v>
      </c>
      <c r="D121" s="2" t="s">
        <v>199</v>
      </c>
      <c r="E121" s="2" t="s">
        <v>15</v>
      </c>
      <c r="F121" s="3">
        <v>457.62</v>
      </c>
      <c r="G121" t="s">
        <v>73</v>
      </c>
      <c r="H121" s="1" t="s">
        <v>46</v>
      </c>
      <c r="I121" t="s">
        <v>74</v>
      </c>
      <c r="J121" t="s">
        <v>196</v>
      </c>
      <c r="K121" t="s">
        <v>197</v>
      </c>
      <c r="L121" t="s">
        <v>198</v>
      </c>
      <c r="M121">
        <v>905953</v>
      </c>
    </row>
    <row r="122" spans="1:13" ht="15">
      <c r="A122" s="4">
        <v>201409</v>
      </c>
      <c r="B122" t="s">
        <v>195</v>
      </c>
      <c r="C122" s="5">
        <v>6532525</v>
      </c>
      <c r="D122" s="2" t="s">
        <v>199</v>
      </c>
      <c r="E122" s="2" t="s">
        <v>15</v>
      </c>
      <c r="F122" s="3">
        <v>808.43</v>
      </c>
      <c r="G122" t="s">
        <v>49</v>
      </c>
      <c r="H122" s="1" t="s">
        <v>46</v>
      </c>
      <c r="I122" t="s">
        <v>213</v>
      </c>
      <c r="J122" t="s">
        <v>196</v>
      </c>
      <c r="K122" t="s">
        <v>197</v>
      </c>
      <c r="L122" t="s">
        <v>198</v>
      </c>
      <c r="M122">
        <v>912214</v>
      </c>
    </row>
    <row r="123" spans="1:13" ht="15">
      <c r="A123" s="4">
        <v>201410</v>
      </c>
      <c r="B123" t="s">
        <v>195</v>
      </c>
      <c r="C123" s="5">
        <v>6532525</v>
      </c>
      <c r="D123" s="2" t="s">
        <v>199</v>
      </c>
      <c r="E123" s="2" t="s">
        <v>15</v>
      </c>
      <c r="F123" s="3">
        <v>628.35</v>
      </c>
      <c r="G123" t="s">
        <v>49</v>
      </c>
      <c r="H123" s="1" t="s">
        <v>46</v>
      </c>
      <c r="I123" t="s">
        <v>214</v>
      </c>
      <c r="J123" t="s">
        <v>196</v>
      </c>
      <c r="K123" t="s">
        <v>197</v>
      </c>
      <c r="L123" t="s">
        <v>198</v>
      </c>
      <c r="M123">
        <v>914241</v>
      </c>
    </row>
    <row r="124" spans="1:14" ht="15">
      <c r="A124" s="4">
        <v>201403</v>
      </c>
      <c r="B124" t="s">
        <v>195</v>
      </c>
      <c r="C124" s="5">
        <v>6532525</v>
      </c>
      <c r="D124" s="2" t="s">
        <v>199</v>
      </c>
      <c r="E124" s="2" t="s">
        <v>15</v>
      </c>
      <c r="F124" s="3">
        <v>7.84</v>
      </c>
      <c r="G124" t="s">
        <v>57</v>
      </c>
      <c r="H124" s="1" t="s">
        <v>60</v>
      </c>
      <c r="I124" t="e">
        <f>-16294/KY67757622/1</f>
        <v>#NAME?</v>
      </c>
      <c r="J124" t="s">
        <v>196</v>
      </c>
      <c r="K124" t="s">
        <v>197</v>
      </c>
      <c r="L124" t="s">
        <v>198</v>
      </c>
      <c r="N124" t="s">
        <v>58</v>
      </c>
    </row>
    <row r="125" spans="1:14" ht="15">
      <c r="A125" s="4">
        <v>201403</v>
      </c>
      <c r="B125" t="s">
        <v>195</v>
      </c>
      <c r="C125" s="5">
        <v>6532525</v>
      </c>
      <c r="D125" s="2" t="s">
        <v>199</v>
      </c>
      <c r="E125" s="2" t="s">
        <v>15</v>
      </c>
      <c r="F125" s="3">
        <v>13.23</v>
      </c>
      <c r="G125" t="s">
        <v>57</v>
      </c>
      <c r="H125" s="1" t="s">
        <v>60</v>
      </c>
      <c r="I125" t="e">
        <f>-16294/KY67757373/1</f>
        <v>#NAME?</v>
      </c>
      <c r="J125" t="s">
        <v>196</v>
      </c>
      <c r="K125" t="s">
        <v>197</v>
      </c>
      <c r="L125" t="s">
        <v>198</v>
      </c>
      <c r="N125" t="s">
        <v>58</v>
      </c>
    </row>
    <row r="126" spans="1:13" ht="15">
      <c r="A126" s="4">
        <v>201403</v>
      </c>
      <c r="B126" t="s">
        <v>195</v>
      </c>
      <c r="C126" s="5">
        <v>6532525</v>
      </c>
      <c r="D126" s="2" t="s">
        <v>199</v>
      </c>
      <c r="E126" s="2" t="s">
        <v>15</v>
      </c>
      <c r="F126" s="3">
        <v>130.7</v>
      </c>
      <c r="G126" t="s">
        <v>96</v>
      </c>
      <c r="H126" s="1" t="s">
        <v>60</v>
      </c>
      <c r="I126" t="s">
        <v>215</v>
      </c>
      <c r="J126" t="s">
        <v>196</v>
      </c>
      <c r="K126" t="s">
        <v>197</v>
      </c>
      <c r="L126" t="s">
        <v>198</v>
      </c>
      <c r="M126">
        <v>900507</v>
      </c>
    </row>
    <row r="127" spans="1:13" ht="15">
      <c r="A127" s="4">
        <v>201403</v>
      </c>
      <c r="B127" t="s">
        <v>195</v>
      </c>
      <c r="C127" s="5">
        <v>6532525</v>
      </c>
      <c r="D127" s="2" t="s">
        <v>199</v>
      </c>
      <c r="E127" s="2" t="s">
        <v>15</v>
      </c>
      <c r="F127" s="3">
        <v>218.22</v>
      </c>
      <c r="G127" t="s">
        <v>96</v>
      </c>
      <c r="H127" s="1" t="s">
        <v>60</v>
      </c>
      <c r="I127" t="s">
        <v>216</v>
      </c>
      <c r="J127" t="s">
        <v>196</v>
      </c>
      <c r="K127" t="s">
        <v>197</v>
      </c>
      <c r="L127" t="s">
        <v>198</v>
      </c>
      <c r="M127">
        <v>900507</v>
      </c>
    </row>
    <row r="128" spans="1:13" ht="15">
      <c r="A128" s="4">
        <v>201404</v>
      </c>
      <c r="B128" t="s">
        <v>195</v>
      </c>
      <c r="C128" s="5">
        <v>6532525</v>
      </c>
      <c r="D128" s="2" t="s">
        <v>199</v>
      </c>
      <c r="E128" s="2" t="s">
        <v>15</v>
      </c>
      <c r="F128" s="3">
        <v>-1.31</v>
      </c>
      <c r="G128" t="s">
        <v>96</v>
      </c>
      <c r="H128" s="1" t="s">
        <v>60</v>
      </c>
      <c r="I128" t="s">
        <v>215</v>
      </c>
      <c r="J128" t="s">
        <v>196</v>
      </c>
      <c r="K128" t="s">
        <v>197</v>
      </c>
      <c r="L128" t="s">
        <v>198</v>
      </c>
      <c r="M128">
        <v>900507</v>
      </c>
    </row>
    <row r="129" spans="1:14" ht="15">
      <c r="A129" s="4">
        <v>201405</v>
      </c>
      <c r="B129" t="s">
        <v>195</v>
      </c>
      <c r="C129" s="5">
        <v>6532525</v>
      </c>
      <c r="D129" s="2" t="s">
        <v>199</v>
      </c>
      <c r="E129" s="2" t="s">
        <v>15</v>
      </c>
      <c r="F129" s="3">
        <v>23.16</v>
      </c>
      <c r="G129" t="s">
        <v>57</v>
      </c>
      <c r="H129" s="1" t="s">
        <v>60</v>
      </c>
      <c r="I129">
        <f>-16482/50688392/1</f>
        <v>-0.00032516320501940564</v>
      </c>
      <c r="J129" t="s">
        <v>196</v>
      </c>
      <c r="K129" t="s">
        <v>197</v>
      </c>
      <c r="L129" t="s">
        <v>198</v>
      </c>
      <c r="N129" t="s">
        <v>58</v>
      </c>
    </row>
    <row r="130" spans="1:13" ht="15">
      <c r="A130" s="4">
        <v>201405</v>
      </c>
      <c r="B130" t="s">
        <v>195</v>
      </c>
      <c r="C130" s="5">
        <v>6532525</v>
      </c>
      <c r="D130" s="2" t="s">
        <v>199</v>
      </c>
      <c r="E130" s="2" t="s">
        <v>15</v>
      </c>
      <c r="F130" s="3">
        <v>385.96</v>
      </c>
      <c r="G130" t="s">
        <v>63</v>
      </c>
      <c r="H130" s="1" t="s">
        <v>60</v>
      </c>
      <c r="I130" t="s">
        <v>217</v>
      </c>
      <c r="J130" t="s">
        <v>196</v>
      </c>
      <c r="K130" t="s">
        <v>197</v>
      </c>
      <c r="L130" t="s">
        <v>198</v>
      </c>
      <c r="M130">
        <v>905673</v>
      </c>
    </row>
    <row r="131" spans="1:13" ht="15">
      <c r="A131" s="4">
        <v>201406</v>
      </c>
      <c r="B131" t="s">
        <v>195</v>
      </c>
      <c r="C131" s="5">
        <v>6532525</v>
      </c>
      <c r="D131" s="2" t="s">
        <v>199</v>
      </c>
      <c r="E131" s="2" t="s">
        <v>15</v>
      </c>
      <c r="F131" s="3">
        <v>-1.93</v>
      </c>
      <c r="G131" t="s">
        <v>63</v>
      </c>
      <c r="H131" s="1" t="s">
        <v>60</v>
      </c>
      <c r="I131" t="s">
        <v>217</v>
      </c>
      <c r="J131" t="s">
        <v>196</v>
      </c>
      <c r="K131" t="s">
        <v>197</v>
      </c>
      <c r="L131" t="s">
        <v>198</v>
      </c>
      <c r="M131">
        <v>905673</v>
      </c>
    </row>
    <row r="132" spans="1:13" ht="15">
      <c r="A132" s="4">
        <v>201406</v>
      </c>
      <c r="B132" t="s">
        <v>195</v>
      </c>
      <c r="C132" s="5">
        <v>6532525</v>
      </c>
      <c r="D132" s="2" t="s">
        <v>199</v>
      </c>
      <c r="E132" s="2" t="s">
        <v>15</v>
      </c>
      <c r="F132" s="3">
        <v>4</v>
      </c>
      <c r="G132" t="s">
        <v>206</v>
      </c>
      <c r="H132" s="1" t="s">
        <v>60</v>
      </c>
      <c r="I132" t="s">
        <v>218</v>
      </c>
      <c r="J132" t="s">
        <v>196</v>
      </c>
      <c r="K132" t="s">
        <v>197</v>
      </c>
      <c r="L132" t="s">
        <v>198</v>
      </c>
      <c r="M132">
        <v>904932</v>
      </c>
    </row>
    <row r="133" spans="1:14" ht="15">
      <c r="A133" s="4">
        <v>201406</v>
      </c>
      <c r="B133" t="s">
        <v>195</v>
      </c>
      <c r="C133" s="5">
        <v>6532525</v>
      </c>
      <c r="D133" s="2" t="s">
        <v>199</v>
      </c>
      <c r="E133" s="2" t="s">
        <v>15</v>
      </c>
      <c r="F133" s="3">
        <v>4.81</v>
      </c>
      <c r="G133" t="s">
        <v>57</v>
      </c>
      <c r="H133" s="1" t="s">
        <v>60</v>
      </c>
      <c r="I133">
        <f>-40906/1406561001/1</f>
        <v>-2.908227938277666E-05</v>
      </c>
      <c r="J133" t="s">
        <v>196</v>
      </c>
      <c r="K133" t="s">
        <v>197</v>
      </c>
      <c r="L133" t="s">
        <v>198</v>
      </c>
      <c r="N133" t="s">
        <v>58</v>
      </c>
    </row>
    <row r="134" spans="1:14" ht="15">
      <c r="A134" s="4">
        <v>201406</v>
      </c>
      <c r="B134" t="s">
        <v>195</v>
      </c>
      <c r="C134" s="5">
        <v>6532525</v>
      </c>
      <c r="D134" s="2" t="s">
        <v>199</v>
      </c>
      <c r="E134" s="2" t="s">
        <v>15</v>
      </c>
      <c r="F134" s="3">
        <v>5.99</v>
      </c>
      <c r="G134" t="s">
        <v>57</v>
      </c>
      <c r="H134" s="1" t="s">
        <v>60</v>
      </c>
      <c r="I134" t="e">
        <f>-16294/KY67759919/1</f>
        <v>#NAME?</v>
      </c>
      <c r="J134" t="s">
        <v>196</v>
      </c>
      <c r="K134" t="s">
        <v>197</v>
      </c>
      <c r="L134" t="s">
        <v>198</v>
      </c>
      <c r="N134" t="s">
        <v>58</v>
      </c>
    </row>
    <row r="135" spans="1:14" ht="15">
      <c r="A135" s="4">
        <v>201406</v>
      </c>
      <c r="B135" t="s">
        <v>195</v>
      </c>
      <c r="C135" s="5">
        <v>6532525</v>
      </c>
      <c r="D135" s="2" t="s">
        <v>199</v>
      </c>
      <c r="E135" s="2" t="s">
        <v>15</v>
      </c>
      <c r="F135" s="3">
        <v>7.83</v>
      </c>
      <c r="G135" t="s">
        <v>57</v>
      </c>
      <c r="H135" s="1" t="s">
        <v>60</v>
      </c>
      <c r="I135">
        <f>-65918/3000427/1</f>
        <v>-0.0219695396688538</v>
      </c>
      <c r="J135" t="s">
        <v>196</v>
      </c>
      <c r="K135" t="s">
        <v>197</v>
      </c>
      <c r="L135" t="s">
        <v>198</v>
      </c>
      <c r="N135" t="s">
        <v>58</v>
      </c>
    </row>
    <row r="136" spans="1:13" ht="15">
      <c r="A136" s="4">
        <v>201406</v>
      </c>
      <c r="B136" t="s">
        <v>195</v>
      </c>
      <c r="C136" s="5">
        <v>6532525</v>
      </c>
      <c r="D136" s="2" t="s">
        <v>199</v>
      </c>
      <c r="E136" s="2" t="s">
        <v>15</v>
      </c>
      <c r="F136" s="3">
        <v>8</v>
      </c>
      <c r="G136" t="s">
        <v>206</v>
      </c>
      <c r="H136" s="1" t="s">
        <v>60</v>
      </c>
      <c r="I136" t="s">
        <v>219</v>
      </c>
      <c r="J136" t="s">
        <v>196</v>
      </c>
      <c r="K136" t="s">
        <v>197</v>
      </c>
      <c r="L136" t="s">
        <v>198</v>
      </c>
      <c r="M136">
        <v>904932</v>
      </c>
    </row>
    <row r="137" spans="1:13" ht="15">
      <c r="A137" s="4">
        <v>201406</v>
      </c>
      <c r="B137" t="s">
        <v>195</v>
      </c>
      <c r="C137" s="5">
        <v>6532525</v>
      </c>
      <c r="D137" s="2" t="s">
        <v>199</v>
      </c>
      <c r="E137" s="2" t="s">
        <v>15</v>
      </c>
      <c r="F137" s="3">
        <v>13</v>
      </c>
      <c r="G137" t="s">
        <v>206</v>
      </c>
      <c r="H137" s="1" t="s">
        <v>60</v>
      </c>
      <c r="I137" t="s">
        <v>220</v>
      </c>
      <c r="J137" t="s">
        <v>196</v>
      </c>
      <c r="K137" t="s">
        <v>197</v>
      </c>
      <c r="L137" t="s">
        <v>198</v>
      </c>
      <c r="M137">
        <v>904932</v>
      </c>
    </row>
    <row r="138" spans="1:14" ht="15">
      <c r="A138" s="4">
        <v>201406</v>
      </c>
      <c r="B138" t="s">
        <v>195</v>
      </c>
      <c r="C138" s="5">
        <v>6532525</v>
      </c>
      <c r="D138" s="2" t="s">
        <v>199</v>
      </c>
      <c r="E138" s="2" t="s">
        <v>15</v>
      </c>
      <c r="F138" s="3">
        <v>25.63</v>
      </c>
      <c r="G138" t="s">
        <v>57</v>
      </c>
      <c r="H138" s="1" t="s">
        <v>60</v>
      </c>
      <c r="I138">
        <f>-16482/50690577/1</f>
        <v>-0.0003251491889705655</v>
      </c>
      <c r="J138" t="s">
        <v>196</v>
      </c>
      <c r="K138" t="s">
        <v>197</v>
      </c>
      <c r="L138" t="s">
        <v>198</v>
      </c>
      <c r="N138" t="s">
        <v>58</v>
      </c>
    </row>
    <row r="139" spans="1:13" ht="15">
      <c r="A139" s="4">
        <v>201406</v>
      </c>
      <c r="B139" t="s">
        <v>195</v>
      </c>
      <c r="C139" s="5">
        <v>6532525</v>
      </c>
      <c r="D139" s="2" t="s">
        <v>199</v>
      </c>
      <c r="E139" s="2" t="s">
        <v>15</v>
      </c>
      <c r="F139" s="3">
        <v>47.6</v>
      </c>
      <c r="G139" t="s">
        <v>206</v>
      </c>
      <c r="H139" s="1" t="s">
        <v>60</v>
      </c>
      <c r="I139" t="s">
        <v>221</v>
      </c>
      <c r="J139" t="s">
        <v>196</v>
      </c>
      <c r="K139" t="s">
        <v>197</v>
      </c>
      <c r="L139" t="s">
        <v>198</v>
      </c>
      <c r="M139">
        <v>904932</v>
      </c>
    </row>
    <row r="140" spans="1:13" ht="15">
      <c r="A140" s="4">
        <v>201406</v>
      </c>
      <c r="B140" t="s">
        <v>195</v>
      </c>
      <c r="C140" s="5">
        <v>6532525</v>
      </c>
      <c r="D140" s="2" t="s">
        <v>199</v>
      </c>
      <c r="E140" s="2" t="s">
        <v>15</v>
      </c>
      <c r="F140" s="3">
        <v>60.9</v>
      </c>
      <c r="G140" t="s">
        <v>206</v>
      </c>
      <c r="H140" s="1" t="s">
        <v>60</v>
      </c>
      <c r="I140" t="s">
        <v>222</v>
      </c>
      <c r="J140" t="s">
        <v>196</v>
      </c>
      <c r="K140" t="s">
        <v>197</v>
      </c>
      <c r="L140" t="s">
        <v>198</v>
      </c>
      <c r="M140">
        <v>904932</v>
      </c>
    </row>
    <row r="141" spans="1:13" ht="15">
      <c r="A141" s="4">
        <v>201406</v>
      </c>
      <c r="B141" t="s">
        <v>195</v>
      </c>
      <c r="C141" s="5">
        <v>6532525</v>
      </c>
      <c r="D141" s="2" t="s">
        <v>199</v>
      </c>
      <c r="E141" s="2" t="s">
        <v>15</v>
      </c>
      <c r="F141" s="3">
        <v>80.21</v>
      </c>
      <c r="G141" t="s">
        <v>59</v>
      </c>
      <c r="H141" s="1" t="s">
        <v>60</v>
      </c>
      <c r="I141" t="s">
        <v>223</v>
      </c>
      <c r="J141" t="s">
        <v>196</v>
      </c>
      <c r="K141" t="s">
        <v>197</v>
      </c>
      <c r="L141" t="s">
        <v>198</v>
      </c>
      <c r="M141">
        <v>908016</v>
      </c>
    </row>
    <row r="142" spans="1:13" ht="15">
      <c r="A142" s="4">
        <v>201406</v>
      </c>
      <c r="B142" t="s">
        <v>195</v>
      </c>
      <c r="C142" s="5">
        <v>6532525</v>
      </c>
      <c r="D142" s="2" t="s">
        <v>199</v>
      </c>
      <c r="E142" s="2" t="s">
        <v>15</v>
      </c>
      <c r="F142" s="3">
        <v>99.86</v>
      </c>
      <c r="G142" t="s">
        <v>96</v>
      </c>
      <c r="H142" s="1" t="s">
        <v>60</v>
      </c>
      <c r="I142" t="s">
        <v>224</v>
      </c>
      <c r="J142" t="s">
        <v>196</v>
      </c>
      <c r="K142" t="s">
        <v>197</v>
      </c>
      <c r="L142" t="s">
        <v>198</v>
      </c>
      <c r="M142">
        <v>900507</v>
      </c>
    </row>
    <row r="143" spans="1:13" ht="15">
      <c r="A143" s="4">
        <v>201406</v>
      </c>
      <c r="B143" t="s">
        <v>195</v>
      </c>
      <c r="C143" s="5">
        <v>6532525</v>
      </c>
      <c r="D143" s="2" t="s">
        <v>199</v>
      </c>
      <c r="E143" s="2" t="s">
        <v>15</v>
      </c>
      <c r="F143" s="3">
        <v>130.5</v>
      </c>
      <c r="G143" t="s">
        <v>206</v>
      </c>
      <c r="H143" s="1" t="s">
        <v>60</v>
      </c>
      <c r="I143" t="s">
        <v>222</v>
      </c>
      <c r="J143" t="s">
        <v>196</v>
      </c>
      <c r="K143" t="s">
        <v>197</v>
      </c>
      <c r="L143" t="s">
        <v>198</v>
      </c>
      <c r="M143">
        <v>904932</v>
      </c>
    </row>
    <row r="144" spans="1:13" ht="15">
      <c r="A144" s="4">
        <v>201406</v>
      </c>
      <c r="B144" t="s">
        <v>195</v>
      </c>
      <c r="C144" s="5">
        <v>6532525</v>
      </c>
      <c r="D144" s="2" t="s">
        <v>199</v>
      </c>
      <c r="E144" s="2" t="s">
        <v>15</v>
      </c>
      <c r="F144" s="3">
        <v>131.2</v>
      </c>
      <c r="G144" t="s">
        <v>206</v>
      </c>
      <c r="H144" s="1" t="s">
        <v>60</v>
      </c>
      <c r="I144" t="s">
        <v>225</v>
      </c>
      <c r="J144" t="s">
        <v>196</v>
      </c>
      <c r="K144" t="s">
        <v>197</v>
      </c>
      <c r="L144" t="s">
        <v>198</v>
      </c>
      <c r="M144">
        <v>904932</v>
      </c>
    </row>
    <row r="145" spans="1:13" ht="15">
      <c r="A145" s="4">
        <v>201406</v>
      </c>
      <c r="B145" t="s">
        <v>195</v>
      </c>
      <c r="C145" s="5">
        <v>6532525</v>
      </c>
      <c r="D145" s="2" t="s">
        <v>199</v>
      </c>
      <c r="E145" s="2" t="s">
        <v>15</v>
      </c>
      <c r="F145" s="3">
        <v>425.02</v>
      </c>
      <c r="G145" t="s">
        <v>63</v>
      </c>
      <c r="H145" s="1" t="s">
        <v>60</v>
      </c>
      <c r="I145" t="s">
        <v>226</v>
      </c>
      <c r="J145" t="s">
        <v>196</v>
      </c>
      <c r="K145" t="s">
        <v>197</v>
      </c>
      <c r="L145" t="s">
        <v>198</v>
      </c>
      <c r="M145">
        <v>905673</v>
      </c>
    </row>
    <row r="146" spans="1:13" ht="15">
      <c r="A146" s="4">
        <v>201406</v>
      </c>
      <c r="B146" t="s">
        <v>195</v>
      </c>
      <c r="C146" s="5">
        <v>6532525</v>
      </c>
      <c r="D146" s="2" t="s">
        <v>199</v>
      </c>
      <c r="E146" s="2" t="s">
        <v>15</v>
      </c>
      <c r="F146" s="3">
        <v>548</v>
      </c>
      <c r="G146" t="s">
        <v>206</v>
      </c>
      <c r="H146" s="1" t="s">
        <v>60</v>
      </c>
      <c r="I146" t="s">
        <v>227</v>
      </c>
      <c r="J146" t="s">
        <v>196</v>
      </c>
      <c r="K146" t="s">
        <v>197</v>
      </c>
      <c r="L146" t="s">
        <v>198</v>
      </c>
      <c r="M146">
        <v>904932</v>
      </c>
    </row>
    <row r="147" spans="1:13" ht="15">
      <c r="A147" s="4">
        <v>201406</v>
      </c>
      <c r="B147" t="s">
        <v>195</v>
      </c>
      <c r="C147" s="5">
        <v>6532525</v>
      </c>
      <c r="D147" s="2" t="s">
        <v>199</v>
      </c>
      <c r="E147" s="2" t="s">
        <v>15</v>
      </c>
      <c r="F147" s="3">
        <v>601.6</v>
      </c>
      <c r="G147" t="s">
        <v>206</v>
      </c>
      <c r="H147" s="1" t="s">
        <v>60</v>
      </c>
      <c r="I147" t="s">
        <v>228</v>
      </c>
      <c r="J147" t="s">
        <v>196</v>
      </c>
      <c r="K147" t="s">
        <v>197</v>
      </c>
      <c r="L147" t="s">
        <v>198</v>
      </c>
      <c r="M147">
        <v>904932</v>
      </c>
    </row>
    <row r="148" spans="1:13" ht="15">
      <c r="A148" s="4">
        <v>201406</v>
      </c>
      <c r="B148" t="s">
        <v>195</v>
      </c>
      <c r="C148" s="5">
        <v>6532525</v>
      </c>
      <c r="D148" s="2" t="s">
        <v>199</v>
      </c>
      <c r="E148" s="2" t="s">
        <v>15</v>
      </c>
      <c r="F148" s="3">
        <v>624</v>
      </c>
      <c r="G148" t="s">
        <v>206</v>
      </c>
      <c r="H148" s="1" t="s">
        <v>60</v>
      </c>
      <c r="I148" t="s">
        <v>229</v>
      </c>
      <c r="J148" t="s">
        <v>196</v>
      </c>
      <c r="K148" t="s">
        <v>197</v>
      </c>
      <c r="L148" t="s">
        <v>198</v>
      </c>
      <c r="M148">
        <v>904932</v>
      </c>
    </row>
    <row r="149" spans="1:14" ht="15">
      <c r="A149" s="4">
        <v>201406</v>
      </c>
      <c r="B149" t="s">
        <v>195</v>
      </c>
      <c r="C149" s="5">
        <v>6532525</v>
      </c>
      <c r="D149" s="2" t="s">
        <v>199</v>
      </c>
      <c r="E149" s="2" t="s">
        <v>15</v>
      </c>
      <c r="F149" s="3">
        <v>870.06</v>
      </c>
      <c r="G149" t="s">
        <v>57</v>
      </c>
      <c r="H149" s="1" t="s">
        <v>60</v>
      </c>
      <c r="I149">
        <f>-65918/3000452/1</f>
        <v>-0.021969356616936383</v>
      </c>
      <c r="J149" t="s">
        <v>196</v>
      </c>
      <c r="K149" t="s">
        <v>197</v>
      </c>
      <c r="L149" t="s">
        <v>198</v>
      </c>
      <c r="N149" t="s">
        <v>58</v>
      </c>
    </row>
    <row r="150" spans="1:14" ht="15">
      <c r="A150" s="4">
        <v>201406</v>
      </c>
      <c r="B150" t="s">
        <v>195</v>
      </c>
      <c r="C150" s="5">
        <v>6532525</v>
      </c>
      <c r="D150" s="2" t="s">
        <v>199</v>
      </c>
      <c r="E150" s="2" t="s">
        <v>15</v>
      </c>
      <c r="F150" s="3">
        <v>995.58</v>
      </c>
      <c r="G150" t="s">
        <v>57</v>
      </c>
      <c r="H150" s="1" t="s">
        <v>60</v>
      </c>
      <c r="I150">
        <f>-65918/3000450/1</f>
        <v>-0.02196937126097752</v>
      </c>
      <c r="J150" t="s">
        <v>196</v>
      </c>
      <c r="K150" t="s">
        <v>197</v>
      </c>
      <c r="L150" t="s">
        <v>198</v>
      </c>
      <c r="N150" t="s">
        <v>58</v>
      </c>
    </row>
    <row r="151" spans="1:14" ht="15">
      <c r="A151" s="4">
        <v>201406</v>
      </c>
      <c r="B151" t="s">
        <v>195</v>
      </c>
      <c r="C151" s="5">
        <v>6532525</v>
      </c>
      <c r="D151" s="2" t="s">
        <v>199</v>
      </c>
      <c r="E151" s="2" t="s">
        <v>15</v>
      </c>
      <c r="F151" s="3">
        <v>5779.64</v>
      </c>
      <c r="G151" t="s">
        <v>57</v>
      </c>
      <c r="H151" s="1" t="s">
        <v>60</v>
      </c>
      <c r="I151">
        <f>-65918/3000451/1</f>
        <v>-0.02196936393895451</v>
      </c>
      <c r="J151" t="s">
        <v>196</v>
      </c>
      <c r="K151" t="s">
        <v>197</v>
      </c>
      <c r="L151" t="s">
        <v>198</v>
      </c>
      <c r="N151" t="s">
        <v>58</v>
      </c>
    </row>
    <row r="152" spans="1:13" ht="15">
      <c r="A152" s="4">
        <v>201406</v>
      </c>
      <c r="B152" t="s">
        <v>195</v>
      </c>
      <c r="C152" s="5">
        <v>6532525</v>
      </c>
      <c r="D152" s="2" t="s">
        <v>199</v>
      </c>
      <c r="E152" s="2" t="s">
        <v>15</v>
      </c>
      <c r="F152" s="3">
        <v>14501</v>
      </c>
      <c r="G152" t="s">
        <v>206</v>
      </c>
      <c r="H152" s="1" t="s">
        <v>60</v>
      </c>
      <c r="I152" t="s">
        <v>230</v>
      </c>
      <c r="J152" t="s">
        <v>196</v>
      </c>
      <c r="K152" t="s">
        <v>197</v>
      </c>
      <c r="L152" t="s">
        <v>198</v>
      </c>
      <c r="M152">
        <v>904932</v>
      </c>
    </row>
    <row r="153" spans="1:13" ht="15">
      <c r="A153" s="4">
        <v>201406</v>
      </c>
      <c r="B153" t="s">
        <v>195</v>
      </c>
      <c r="C153" s="5">
        <v>6532525</v>
      </c>
      <c r="D153" s="2" t="s">
        <v>199</v>
      </c>
      <c r="E153" s="2" t="s">
        <v>15</v>
      </c>
      <c r="F153" s="3">
        <v>16593</v>
      </c>
      <c r="G153" t="s">
        <v>206</v>
      </c>
      <c r="H153" s="1" t="s">
        <v>60</v>
      </c>
      <c r="I153" t="s">
        <v>231</v>
      </c>
      <c r="J153" t="s">
        <v>196</v>
      </c>
      <c r="K153" t="s">
        <v>197</v>
      </c>
      <c r="L153" t="s">
        <v>198</v>
      </c>
      <c r="M153">
        <v>904932</v>
      </c>
    </row>
    <row r="154" spans="1:13" ht="15">
      <c r="A154" s="4">
        <v>201406</v>
      </c>
      <c r="B154" t="s">
        <v>195</v>
      </c>
      <c r="C154" s="5">
        <v>6532525</v>
      </c>
      <c r="D154" s="2" t="s">
        <v>199</v>
      </c>
      <c r="E154" s="2" t="s">
        <v>15</v>
      </c>
      <c r="F154" s="3">
        <v>19729</v>
      </c>
      <c r="G154" t="s">
        <v>206</v>
      </c>
      <c r="H154" s="1" t="s">
        <v>60</v>
      </c>
      <c r="I154" t="s">
        <v>232</v>
      </c>
      <c r="J154" t="s">
        <v>196</v>
      </c>
      <c r="K154" t="s">
        <v>197</v>
      </c>
      <c r="L154" t="s">
        <v>198</v>
      </c>
      <c r="M154">
        <v>904932</v>
      </c>
    </row>
    <row r="155" spans="1:13" ht="15">
      <c r="A155" s="4">
        <v>201406</v>
      </c>
      <c r="B155" t="s">
        <v>195</v>
      </c>
      <c r="C155" s="5">
        <v>6532525</v>
      </c>
      <c r="D155" s="2" t="s">
        <v>199</v>
      </c>
      <c r="E155" s="2" t="s">
        <v>15</v>
      </c>
      <c r="F155" s="3">
        <v>28114</v>
      </c>
      <c r="G155" t="s">
        <v>206</v>
      </c>
      <c r="H155" s="1" t="s">
        <v>60</v>
      </c>
      <c r="I155" t="s">
        <v>233</v>
      </c>
      <c r="J155" t="s">
        <v>196</v>
      </c>
      <c r="K155" t="s">
        <v>197</v>
      </c>
      <c r="L155" t="s">
        <v>198</v>
      </c>
      <c r="M155">
        <v>904932</v>
      </c>
    </row>
    <row r="156" spans="1:13" ht="15">
      <c r="A156" s="4">
        <v>201406</v>
      </c>
      <c r="B156" t="s">
        <v>195</v>
      </c>
      <c r="C156" s="5">
        <v>6532525</v>
      </c>
      <c r="D156" s="2" t="s">
        <v>199</v>
      </c>
      <c r="E156" s="2" t="s">
        <v>15</v>
      </c>
      <c r="F156" s="3">
        <v>46446</v>
      </c>
      <c r="G156" t="s">
        <v>206</v>
      </c>
      <c r="H156" s="1" t="s">
        <v>60</v>
      </c>
      <c r="I156" t="s">
        <v>234</v>
      </c>
      <c r="J156" t="s">
        <v>196</v>
      </c>
      <c r="K156" t="s">
        <v>197</v>
      </c>
      <c r="L156" t="s">
        <v>198</v>
      </c>
      <c r="M156">
        <v>904932</v>
      </c>
    </row>
    <row r="157" spans="1:13" ht="15">
      <c r="A157" s="4">
        <v>201407</v>
      </c>
      <c r="B157" t="s">
        <v>195</v>
      </c>
      <c r="C157" s="5">
        <v>6532525</v>
      </c>
      <c r="D157" s="2" t="s">
        <v>199</v>
      </c>
      <c r="E157" s="2" t="s">
        <v>15</v>
      </c>
      <c r="F157" s="3">
        <v>-1</v>
      </c>
      <c r="G157" t="s">
        <v>96</v>
      </c>
      <c r="H157" s="1" t="s">
        <v>60</v>
      </c>
      <c r="I157" t="s">
        <v>224</v>
      </c>
      <c r="J157" t="s">
        <v>196</v>
      </c>
      <c r="K157" t="s">
        <v>197</v>
      </c>
      <c r="L157" t="s">
        <v>198</v>
      </c>
      <c r="M157">
        <v>900507</v>
      </c>
    </row>
    <row r="158" spans="1:13" ht="15">
      <c r="A158" s="4">
        <v>201407</v>
      </c>
      <c r="B158" t="s">
        <v>195</v>
      </c>
      <c r="C158" s="5">
        <v>6532525</v>
      </c>
      <c r="D158" s="2" t="s">
        <v>199</v>
      </c>
      <c r="E158" s="2" t="s">
        <v>15</v>
      </c>
      <c r="F158" s="3">
        <v>-0.4</v>
      </c>
      <c r="G158" t="s">
        <v>59</v>
      </c>
      <c r="H158" s="1" t="s">
        <v>60</v>
      </c>
      <c r="I158" t="s">
        <v>223</v>
      </c>
      <c r="J158" t="s">
        <v>196</v>
      </c>
      <c r="K158" t="s">
        <v>197</v>
      </c>
      <c r="L158" t="s">
        <v>198</v>
      </c>
      <c r="M158">
        <v>908016</v>
      </c>
    </row>
    <row r="159" spans="1:12" ht="15">
      <c r="A159" s="4">
        <v>201404</v>
      </c>
      <c r="B159" t="s">
        <v>195</v>
      </c>
      <c r="C159" s="5">
        <v>6532525</v>
      </c>
      <c r="D159" s="2" t="s">
        <v>199</v>
      </c>
      <c r="E159" s="2" t="s">
        <v>15</v>
      </c>
      <c r="F159" s="3">
        <v>2.13</v>
      </c>
      <c r="H159" s="1" t="s">
        <v>66</v>
      </c>
      <c r="I159" t="s">
        <v>67</v>
      </c>
      <c r="J159" t="s">
        <v>196</v>
      </c>
      <c r="K159" t="s">
        <v>197</v>
      </c>
      <c r="L159" t="s">
        <v>198</v>
      </c>
    </row>
    <row r="160" spans="1:12" ht="15">
      <c r="A160" s="4">
        <v>201405</v>
      </c>
      <c r="B160" t="s">
        <v>195</v>
      </c>
      <c r="C160" s="5">
        <v>6532525</v>
      </c>
      <c r="D160" s="2" t="s">
        <v>199</v>
      </c>
      <c r="E160" s="2" t="s">
        <v>15</v>
      </c>
      <c r="F160" s="3">
        <v>5.12</v>
      </c>
      <c r="H160" s="1" t="s">
        <v>66</v>
      </c>
      <c r="I160" t="s">
        <v>67</v>
      </c>
      <c r="J160" t="s">
        <v>196</v>
      </c>
      <c r="K160" t="s">
        <v>197</v>
      </c>
      <c r="L160" t="s">
        <v>198</v>
      </c>
    </row>
    <row r="161" spans="1:12" ht="15">
      <c r="A161" s="4">
        <v>201406</v>
      </c>
      <c r="B161" t="s">
        <v>195</v>
      </c>
      <c r="C161" s="5">
        <v>6532525</v>
      </c>
      <c r="D161" s="2" t="s">
        <v>199</v>
      </c>
      <c r="E161" s="2" t="s">
        <v>15</v>
      </c>
      <c r="F161" s="3">
        <v>6.34</v>
      </c>
      <c r="H161" s="1" t="s">
        <v>66</v>
      </c>
      <c r="I161" t="s">
        <v>67</v>
      </c>
      <c r="J161" t="s">
        <v>196</v>
      </c>
      <c r="K161" t="s">
        <v>197</v>
      </c>
      <c r="L161" t="s">
        <v>198</v>
      </c>
    </row>
    <row r="162" spans="1:12" ht="15">
      <c r="A162" s="4">
        <v>201404</v>
      </c>
      <c r="B162" t="s">
        <v>195</v>
      </c>
      <c r="C162" s="5">
        <v>6532525</v>
      </c>
      <c r="D162" s="2" t="s">
        <v>199</v>
      </c>
      <c r="E162" s="2" t="s">
        <v>15</v>
      </c>
      <c r="F162" s="3">
        <v>0</v>
      </c>
      <c r="H162" s="1" t="s">
        <v>68</v>
      </c>
      <c r="J162" t="s">
        <v>196</v>
      </c>
      <c r="K162" t="s">
        <v>197</v>
      </c>
      <c r="L162" t="s">
        <v>198</v>
      </c>
    </row>
    <row r="163" spans="1:12" ht="15">
      <c r="A163" s="4">
        <v>201404</v>
      </c>
      <c r="B163" t="s">
        <v>195</v>
      </c>
      <c r="C163" s="5">
        <v>6532525</v>
      </c>
      <c r="D163" s="2" t="s">
        <v>199</v>
      </c>
      <c r="E163" s="2" t="s">
        <v>15</v>
      </c>
      <c r="F163" s="3">
        <v>6</v>
      </c>
      <c r="H163" s="1" t="s">
        <v>68</v>
      </c>
      <c r="J163" t="s">
        <v>196</v>
      </c>
      <c r="K163" t="s">
        <v>197</v>
      </c>
      <c r="L163" t="s">
        <v>198</v>
      </c>
    </row>
    <row r="164" spans="1:12" ht="15">
      <c r="A164" s="4">
        <v>201406</v>
      </c>
      <c r="B164" t="s">
        <v>195</v>
      </c>
      <c r="C164" s="5">
        <v>6532525</v>
      </c>
      <c r="D164" s="2" t="s">
        <v>199</v>
      </c>
      <c r="E164" s="2" t="s">
        <v>15</v>
      </c>
      <c r="F164" s="3">
        <v>0</v>
      </c>
      <c r="H164" s="1" t="s">
        <v>68</v>
      </c>
      <c r="J164" t="s">
        <v>196</v>
      </c>
      <c r="K164" t="s">
        <v>197</v>
      </c>
      <c r="L164" t="s">
        <v>198</v>
      </c>
    </row>
    <row r="165" spans="1:12" ht="15">
      <c r="A165" s="4">
        <v>201406</v>
      </c>
      <c r="B165" t="s">
        <v>195</v>
      </c>
      <c r="C165" s="5">
        <v>6532525</v>
      </c>
      <c r="D165" s="2" t="s">
        <v>199</v>
      </c>
      <c r="E165" s="2" t="s">
        <v>15</v>
      </c>
      <c r="F165" s="3">
        <v>12</v>
      </c>
      <c r="H165" s="1" t="s">
        <v>68</v>
      </c>
      <c r="J165" t="s">
        <v>196</v>
      </c>
      <c r="K165" t="s">
        <v>197</v>
      </c>
      <c r="L165" t="s">
        <v>198</v>
      </c>
    </row>
    <row r="166" spans="1:14" ht="15">
      <c r="A166" s="4">
        <v>201403</v>
      </c>
      <c r="B166" t="s">
        <v>195</v>
      </c>
      <c r="C166" s="5">
        <v>6532525</v>
      </c>
      <c r="D166" s="2" t="s">
        <v>199</v>
      </c>
      <c r="E166" s="2" t="s">
        <v>15</v>
      </c>
      <c r="F166" s="3">
        <v>0.68</v>
      </c>
      <c r="G166" t="s">
        <v>57</v>
      </c>
      <c r="H166" s="1" t="s">
        <v>69</v>
      </c>
      <c r="I166" t="e">
        <f>-16294/KY67757622/1</f>
        <v>#NAME?</v>
      </c>
      <c r="J166" t="s">
        <v>196</v>
      </c>
      <c r="K166" t="s">
        <v>197</v>
      </c>
      <c r="L166" t="s">
        <v>198</v>
      </c>
      <c r="N166" t="s">
        <v>58</v>
      </c>
    </row>
    <row r="167" spans="1:14" ht="15">
      <c r="A167" s="4">
        <v>201403</v>
      </c>
      <c r="B167" t="s">
        <v>195</v>
      </c>
      <c r="C167" s="5">
        <v>6532525</v>
      </c>
      <c r="D167" s="2" t="s">
        <v>199</v>
      </c>
      <c r="E167" s="2" t="s">
        <v>15</v>
      </c>
      <c r="F167" s="3">
        <v>0.77</v>
      </c>
      <c r="G167" t="s">
        <v>57</v>
      </c>
      <c r="H167" s="1" t="s">
        <v>69</v>
      </c>
      <c r="I167" t="e">
        <f>-16294/KY67757373/1</f>
        <v>#NAME?</v>
      </c>
      <c r="J167" t="s">
        <v>196</v>
      </c>
      <c r="K167" t="s">
        <v>197</v>
      </c>
      <c r="L167" t="s">
        <v>198</v>
      </c>
      <c r="N167" t="s">
        <v>58</v>
      </c>
    </row>
    <row r="168" spans="1:12" ht="15">
      <c r="A168" s="4">
        <v>201403</v>
      </c>
      <c r="B168" t="s">
        <v>195</v>
      </c>
      <c r="C168" s="5">
        <v>6532525</v>
      </c>
      <c r="D168" s="2" t="s">
        <v>199</v>
      </c>
      <c r="E168" s="2" t="s">
        <v>15</v>
      </c>
      <c r="F168" s="3">
        <v>11.4</v>
      </c>
      <c r="G168" t="s">
        <v>96</v>
      </c>
      <c r="H168" s="1" t="s">
        <v>69</v>
      </c>
      <c r="I168" t="e">
        <f>-freight</f>
        <v>#NAME?</v>
      </c>
      <c r="J168" t="s">
        <v>196</v>
      </c>
      <c r="K168" t="s">
        <v>197</v>
      </c>
      <c r="L168" t="s">
        <v>198</v>
      </c>
    </row>
    <row r="169" spans="1:12" ht="15">
      <c r="A169" s="4">
        <v>201403</v>
      </c>
      <c r="B169" t="s">
        <v>195</v>
      </c>
      <c r="C169" s="5">
        <v>6532525</v>
      </c>
      <c r="D169" s="2" t="s">
        <v>199</v>
      </c>
      <c r="E169" s="2" t="s">
        <v>15</v>
      </c>
      <c r="F169" s="3">
        <v>12.81</v>
      </c>
      <c r="G169" t="s">
        <v>96</v>
      </c>
      <c r="H169" s="1" t="s">
        <v>69</v>
      </c>
      <c r="I169" t="e">
        <f>-freight</f>
        <v>#NAME?</v>
      </c>
      <c r="J169" t="s">
        <v>196</v>
      </c>
      <c r="K169" t="s">
        <v>197</v>
      </c>
      <c r="L169" t="s">
        <v>198</v>
      </c>
    </row>
    <row r="170" spans="1:14" ht="15">
      <c r="A170" s="4">
        <v>201406</v>
      </c>
      <c r="B170" t="s">
        <v>195</v>
      </c>
      <c r="C170" s="5">
        <v>6532525</v>
      </c>
      <c r="D170" s="2" t="s">
        <v>199</v>
      </c>
      <c r="E170" s="2" t="s">
        <v>15</v>
      </c>
      <c r="F170" s="3">
        <v>0.8</v>
      </c>
      <c r="G170" t="s">
        <v>57</v>
      </c>
      <c r="H170" s="1" t="s">
        <v>69</v>
      </c>
      <c r="I170" t="e">
        <f>-16294/KY67759919/1</f>
        <v>#NAME?</v>
      </c>
      <c r="J170" t="s">
        <v>196</v>
      </c>
      <c r="K170" t="s">
        <v>197</v>
      </c>
      <c r="L170" t="s">
        <v>198</v>
      </c>
      <c r="N170" t="s">
        <v>58</v>
      </c>
    </row>
    <row r="171" spans="1:12" ht="15">
      <c r="A171" s="4">
        <v>201406</v>
      </c>
      <c r="B171" t="s">
        <v>195</v>
      </c>
      <c r="C171" s="5">
        <v>6532525</v>
      </c>
      <c r="D171" s="2" t="s">
        <v>199</v>
      </c>
      <c r="E171" s="2" t="s">
        <v>15</v>
      </c>
      <c r="F171" s="3">
        <v>13.36</v>
      </c>
      <c r="G171" t="s">
        <v>96</v>
      </c>
      <c r="H171" s="1" t="s">
        <v>69</v>
      </c>
      <c r="I171" t="e">
        <f>-freight</f>
        <v>#NAME?</v>
      </c>
      <c r="J171" t="s">
        <v>196</v>
      </c>
      <c r="K171" t="s">
        <v>197</v>
      </c>
      <c r="L171" t="s">
        <v>198</v>
      </c>
    </row>
    <row r="172" spans="1:12" ht="15">
      <c r="A172" s="4">
        <v>201408</v>
      </c>
      <c r="B172" t="s">
        <v>235</v>
      </c>
      <c r="C172" s="5">
        <v>6594922</v>
      </c>
      <c r="D172" s="2" t="s">
        <v>237</v>
      </c>
      <c r="E172" s="2" t="s">
        <v>238</v>
      </c>
      <c r="F172" s="3">
        <v>0.48</v>
      </c>
      <c r="H172" s="1" t="s">
        <v>66</v>
      </c>
      <c r="I172" t="s">
        <v>67</v>
      </c>
      <c r="J172" t="s">
        <v>236</v>
      </c>
      <c r="K172" t="s">
        <v>141</v>
      </c>
      <c r="L172" t="s">
        <v>142</v>
      </c>
    </row>
    <row r="173" spans="1:12" ht="15">
      <c r="A173" s="4">
        <v>201409</v>
      </c>
      <c r="B173" t="s">
        <v>235</v>
      </c>
      <c r="C173" s="5">
        <v>6594922</v>
      </c>
      <c r="D173" s="2" t="s">
        <v>237</v>
      </c>
      <c r="E173" s="2" t="s">
        <v>238</v>
      </c>
      <c r="F173" s="3">
        <v>1.25</v>
      </c>
      <c r="H173" s="1" t="s">
        <v>66</v>
      </c>
      <c r="I173" t="s">
        <v>67</v>
      </c>
      <c r="J173" t="s">
        <v>236</v>
      </c>
      <c r="K173" t="s">
        <v>141</v>
      </c>
      <c r="L173" t="s">
        <v>142</v>
      </c>
    </row>
    <row r="174" spans="1:12" ht="15">
      <c r="A174" s="4">
        <v>201409</v>
      </c>
      <c r="B174" t="s">
        <v>235</v>
      </c>
      <c r="C174" s="5">
        <v>6594922</v>
      </c>
      <c r="D174" s="2" t="s">
        <v>237</v>
      </c>
      <c r="E174" s="2" t="s">
        <v>238</v>
      </c>
      <c r="F174" s="3">
        <v>0</v>
      </c>
      <c r="H174" s="1" t="s">
        <v>68</v>
      </c>
      <c r="J174" t="s">
        <v>236</v>
      </c>
      <c r="K174" t="s">
        <v>141</v>
      </c>
      <c r="L174" t="s">
        <v>142</v>
      </c>
    </row>
    <row r="175" spans="1:12" ht="15">
      <c r="A175" s="4">
        <v>201409</v>
      </c>
      <c r="B175" t="s">
        <v>235</v>
      </c>
      <c r="C175" s="5">
        <v>6594922</v>
      </c>
      <c r="D175" s="2" t="s">
        <v>237</v>
      </c>
      <c r="E175" s="2" t="s">
        <v>238</v>
      </c>
      <c r="F175" s="3">
        <v>6</v>
      </c>
      <c r="H175" s="1" t="s">
        <v>68</v>
      </c>
      <c r="J175" t="s">
        <v>236</v>
      </c>
      <c r="K175" t="s">
        <v>141</v>
      </c>
      <c r="L175" t="s">
        <v>142</v>
      </c>
    </row>
    <row r="176" spans="1:13" ht="15">
      <c r="A176" s="4">
        <v>201405</v>
      </c>
      <c r="B176" t="s">
        <v>239</v>
      </c>
      <c r="C176" s="5">
        <v>6512608</v>
      </c>
      <c r="D176" s="2" t="s">
        <v>243</v>
      </c>
      <c r="E176" s="2" t="s">
        <v>15</v>
      </c>
      <c r="F176" s="3">
        <v>1274.45</v>
      </c>
      <c r="G176" t="s">
        <v>49</v>
      </c>
      <c r="H176" s="1" t="s">
        <v>46</v>
      </c>
      <c r="I176" t="s">
        <v>52</v>
      </c>
      <c r="J176" t="s">
        <v>240</v>
      </c>
      <c r="K176" t="s">
        <v>241</v>
      </c>
      <c r="L176" t="s">
        <v>242</v>
      </c>
      <c r="M176">
        <v>904321</v>
      </c>
    </row>
    <row r="177" spans="1:13" ht="15">
      <c r="A177" s="4">
        <v>201405</v>
      </c>
      <c r="B177" t="s">
        <v>239</v>
      </c>
      <c r="C177" s="5">
        <v>6512608</v>
      </c>
      <c r="D177" s="2" t="s">
        <v>243</v>
      </c>
      <c r="E177" s="2" t="s">
        <v>15</v>
      </c>
      <c r="F177" s="3">
        <v>1533.53</v>
      </c>
      <c r="G177" t="s">
        <v>49</v>
      </c>
      <c r="H177" s="1" t="s">
        <v>46</v>
      </c>
      <c r="I177" t="s">
        <v>50</v>
      </c>
      <c r="J177" t="s">
        <v>240</v>
      </c>
      <c r="K177" t="s">
        <v>241</v>
      </c>
      <c r="L177" t="s">
        <v>242</v>
      </c>
      <c r="M177">
        <v>904321</v>
      </c>
    </row>
    <row r="178" spans="1:13" ht="15">
      <c r="A178" s="4">
        <v>201406</v>
      </c>
      <c r="B178" t="s">
        <v>239</v>
      </c>
      <c r="C178" s="5">
        <v>6512608</v>
      </c>
      <c r="D178" s="2" t="s">
        <v>243</v>
      </c>
      <c r="E178" s="2" t="s">
        <v>15</v>
      </c>
      <c r="F178" s="3">
        <v>54.69</v>
      </c>
      <c r="G178" t="s">
        <v>55</v>
      </c>
      <c r="H178" s="1" t="s">
        <v>46</v>
      </c>
      <c r="I178" t="s">
        <v>244</v>
      </c>
      <c r="J178" t="s">
        <v>240</v>
      </c>
      <c r="K178" t="s">
        <v>241</v>
      </c>
      <c r="L178" t="s">
        <v>242</v>
      </c>
      <c r="M178">
        <v>907456</v>
      </c>
    </row>
    <row r="179" spans="1:13" ht="15">
      <c r="A179" s="4">
        <v>201406</v>
      </c>
      <c r="B179" t="s">
        <v>239</v>
      </c>
      <c r="C179" s="5">
        <v>6512608</v>
      </c>
      <c r="D179" s="2" t="s">
        <v>243</v>
      </c>
      <c r="E179" s="2" t="s">
        <v>15</v>
      </c>
      <c r="F179" s="3">
        <v>91.15</v>
      </c>
      <c r="G179" t="s">
        <v>55</v>
      </c>
      <c r="H179" s="1" t="s">
        <v>46</v>
      </c>
      <c r="I179" t="s">
        <v>245</v>
      </c>
      <c r="J179" t="s">
        <v>240</v>
      </c>
      <c r="K179" t="s">
        <v>241</v>
      </c>
      <c r="L179" t="s">
        <v>242</v>
      </c>
      <c r="M179">
        <v>905625</v>
      </c>
    </row>
    <row r="180" spans="1:13" ht="15">
      <c r="A180" s="4">
        <v>201406</v>
      </c>
      <c r="B180" t="s">
        <v>239</v>
      </c>
      <c r="C180" s="5">
        <v>6512608</v>
      </c>
      <c r="D180" s="2" t="s">
        <v>243</v>
      </c>
      <c r="E180" s="2" t="s">
        <v>15</v>
      </c>
      <c r="F180" s="3">
        <v>512.82</v>
      </c>
      <c r="G180" t="s">
        <v>49</v>
      </c>
      <c r="H180" s="1" t="s">
        <v>46</v>
      </c>
      <c r="I180" t="s">
        <v>246</v>
      </c>
      <c r="J180" t="s">
        <v>240</v>
      </c>
      <c r="K180" t="s">
        <v>241</v>
      </c>
      <c r="L180" t="s">
        <v>242</v>
      </c>
      <c r="M180">
        <v>906382</v>
      </c>
    </row>
    <row r="181" spans="1:13" ht="15">
      <c r="A181" s="4">
        <v>201406</v>
      </c>
      <c r="B181" t="s">
        <v>239</v>
      </c>
      <c r="C181" s="5">
        <v>6512608</v>
      </c>
      <c r="D181" s="2" t="s">
        <v>243</v>
      </c>
      <c r="E181" s="2" t="s">
        <v>15</v>
      </c>
      <c r="F181" s="3">
        <v>1529.82</v>
      </c>
      <c r="G181" t="s">
        <v>49</v>
      </c>
      <c r="H181" s="1" t="s">
        <v>46</v>
      </c>
      <c r="I181" t="s">
        <v>247</v>
      </c>
      <c r="J181" t="s">
        <v>240</v>
      </c>
      <c r="K181" t="s">
        <v>241</v>
      </c>
      <c r="L181" t="s">
        <v>242</v>
      </c>
      <c r="M181">
        <v>907455</v>
      </c>
    </row>
    <row r="182" spans="1:14" ht="15">
      <c r="A182" s="4">
        <v>201405</v>
      </c>
      <c r="B182" t="s">
        <v>239</v>
      </c>
      <c r="C182" s="5">
        <v>6512608</v>
      </c>
      <c r="D182" s="2" t="s">
        <v>243</v>
      </c>
      <c r="E182" s="2" t="s">
        <v>15</v>
      </c>
      <c r="F182" s="3">
        <v>18.01</v>
      </c>
      <c r="G182" t="s">
        <v>57</v>
      </c>
      <c r="H182" s="1" t="s">
        <v>248</v>
      </c>
      <c r="I182" t="e">
        <f>-51223/EET3758LV/1</f>
        <v>#NAME?</v>
      </c>
      <c r="J182" t="s">
        <v>240</v>
      </c>
      <c r="K182" t="s">
        <v>241</v>
      </c>
      <c r="L182" t="s">
        <v>242</v>
      </c>
      <c r="N182" t="s">
        <v>58</v>
      </c>
    </row>
    <row r="183" spans="1:13" ht="15">
      <c r="A183" s="4">
        <v>201405</v>
      </c>
      <c r="B183" t="s">
        <v>239</v>
      </c>
      <c r="C183" s="5">
        <v>6512608</v>
      </c>
      <c r="D183" s="2" t="s">
        <v>243</v>
      </c>
      <c r="E183" s="2" t="s">
        <v>15</v>
      </c>
      <c r="F183" s="3">
        <v>298.66</v>
      </c>
      <c r="G183" t="s">
        <v>249</v>
      </c>
      <c r="H183" s="1" t="s">
        <v>248</v>
      </c>
      <c r="I183" t="s">
        <v>250</v>
      </c>
      <c r="J183" t="s">
        <v>240</v>
      </c>
      <c r="K183" t="s">
        <v>241</v>
      </c>
      <c r="L183" t="s">
        <v>242</v>
      </c>
      <c r="M183">
        <v>905683</v>
      </c>
    </row>
    <row r="184" spans="1:12" ht="15">
      <c r="A184" s="4">
        <v>201405</v>
      </c>
      <c r="B184" t="s">
        <v>239</v>
      </c>
      <c r="C184" s="5">
        <v>6512608</v>
      </c>
      <c r="D184" s="2" t="s">
        <v>243</v>
      </c>
      <c r="E184" s="2" t="s">
        <v>15</v>
      </c>
      <c r="F184" s="3">
        <v>32.87</v>
      </c>
      <c r="H184" s="1" t="s">
        <v>66</v>
      </c>
      <c r="I184" t="s">
        <v>67</v>
      </c>
      <c r="J184" t="s">
        <v>240</v>
      </c>
      <c r="K184" t="s">
        <v>241</v>
      </c>
      <c r="L184" t="s">
        <v>242</v>
      </c>
    </row>
    <row r="185" spans="1:14" ht="15">
      <c r="A185" s="4">
        <v>201405</v>
      </c>
      <c r="B185" t="s">
        <v>239</v>
      </c>
      <c r="C185" s="5">
        <v>6512608</v>
      </c>
      <c r="D185" s="2" t="s">
        <v>243</v>
      </c>
      <c r="E185" s="2" t="s">
        <v>15</v>
      </c>
      <c r="F185" s="3">
        <v>0.68</v>
      </c>
      <c r="G185" t="s">
        <v>57</v>
      </c>
      <c r="H185" s="1" t="s">
        <v>69</v>
      </c>
      <c r="I185" t="e">
        <f>-51223/EET3758LV/1</f>
        <v>#NAME?</v>
      </c>
      <c r="J185" t="s">
        <v>240</v>
      </c>
      <c r="K185" t="s">
        <v>241</v>
      </c>
      <c r="L185" t="s">
        <v>242</v>
      </c>
      <c r="N185" t="s">
        <v>58</v>
      </c>
    </row>
    <row r="186" spans="1:12" ht="15">
      <c r="A186" s="4">
        <v>201405</v>
      </c>
      <c r="B186" t="s">
        <v>239</v>
      </c>
      <c r="C186" s="5">
        <v>6512608</v>
      </c>
      <c r="D186" s="2" t="s">
        <v>243</v>
      </c>
      <c r="E186" s="2" t="s">
        <v>15</v>
      </c>
      <c r="F186" s="3">
        <v>11.25</v>
      </c>
      <c r="G186" t="s">
        <v>249</v>
      </c>
      <c r="H186" s="1" t="s">
        <v>69</v>
      </c>
      <c r="I186" t="e">
        <f>-freight</f>
        <v>#NAME?</v>
      </c>
      <c r="J186" t="s">
        <v>240</v>
      </c>
      <c r="K186" t="s">
        <v>241</v>
      </c>
      <c r="L186" t="s">
        <v>242</v>
      </c>
    </row>
    <row r="187" spans="1:12" ht="15">
      <c r="A187" s="4">
        <v>201401</v>
      </c>
      <c r="B187" t="s">
        <v>251</v>
      </c>
      <c r="C187" s="5">
        <v>6529559</v>
      </c>
      <c r="D187" s="2" t="s">
        <v>254</v>
      </c>
      <c r="E187" s="2" t="s">
        <v>15</v>
      </c>
      <c r="F187" s="3">
        <v>0.23</v>
      </c>
      <c r="H187" s="1" t="s">
        <v>66</v>
      </c>
      <c r="I187" t="s">
        <v>67</v>
      </c>
      <c r="J187" t="s">
        <v>252</v>
      </c>
      <c r="K187" t="s">
        <v>241</v>
      </c>
      <c r="L187" t="s">
        <v>253</v>
      </c>
    </row>
    <row r="188" spans="1:12" ht="15">
      <c r="A188" s="4">
        <v>201401</v>
      </c>
      <c r="B188" t="s">
        <v>251</v>
      </c>
      <c r="C188" s="5">
        <v>6532444</v>
      </c>
      <c r="D188" s="2" t="s">
        <v>255</v>
      </c>
      <c r="E188" s="2" t="s">
        <v>15</v>
      </c>
      <c r="F188" s="3">
        <v>0.19</v>
      </c>
      <c r="H188" s="1" t="s">
        <v>66</v>
      </c>
      <c r="I188" t="s">
        <v>67</v>
      </c>
      <c r="J188" t="s">
        <v>252</v>
      </c>
      <c r="K188" t="s">
        <v>241</v>
      </c>
      <c r="L188" t="s">
        <v>253</v>
      </c>
    </row>
    <row r="189" spans="1:14" ht="15">
      <c r="A189" s="4">
        <v>201405</v>
      </c>
      <c r="B189" t="s">
        <v>251</v>
      </c>
      <c r="C189" s="5">
        <v>6567989</v>
      </c>
      <c r="D189" s="2" t="s">
        <v>256</v>
      </c>
      <c r="E189" s="2" t="s">
        <v>15</v>
      </c>
      <c r="F189" s="3">
        <v>89.48</v>
      </c>
      <c r="G189" t="s">
        <v>57</v>
      </c>
      <c r="H189" s="1" t="s">
        <v>60</v>
      </c>
      <c r="I189">
        <f>-70098/42724/1</f>
        <v>-1.6407171613144838</v>
      </c>
      <c r="J189" t="s">
        <v>252</v>
      </c>
      <c r="K189" t="s">
        <v>241</v>
      </c>
      <c r="L189" t="s">
        <v>253</v>
      </c>
      <c r="N189" t="s">
        <v>58</v>
      </c>
    </row>
    <row r="190" spans="1:13" ht="15">
      <c r="A190" s="4">
        <v>201405</v>
      </c>
      <c r="B190" t="s">
        <v>251</v>
      </c>
      <c r="C190" s="5">
        <v>6567989</v>
      </c>
      <c r="D190" s="2" t="s">
        <v>256</v>
      </c>
      <c r="E190" s="2" t="s">
        <v>15</v>
      </c>
      <c r="F190" s="3">
        <v>1491.25</v>
      </c>
      <c r="G190" t="s">
        <v>257</v>
      </c>
      <c r="H190" s="1" t="s">
        <v>60</v>
      </c>
      <c r="I190" t="s">
        <v>258</v>
      </c>
      <c r="J190" t="s">
        <v>252</v>
      </c>
      <c r="K190" t="s">
        <v>241</v>
      </c>
      <c r="L190" t="s">
        <v>253</v>
      </c>
      <c r="M190">
        <v>905033</v>
      </c>
    </row>
    <row r="191" spans="1:12" ht="15">
      <c r="A191" s="4">
        <v>201405</v>
      </c>
      <c r="B191" t="s">
        <v>251</v>
      </c>
      <c r="C191" s="5">
        <v>6567989</v>
      </c>
      <c r="D191" s="2" t="s">
        <v>256</v>
      </c>
      <c r="E191" s="2" t="s">
        <v>15</v>
      </c>
      <c r="F191" s="3">
        <v>0.89</v>
      </c>
      <c r="H191" s="1" t="s">
        <v>66</v>
      </c>
      <c r="I191" t="s">
        <v>67</v>
      </c>
      <c r="J191" t="s">
        <v>252</v>
      </c>
      <c r="K191" t="s">
        <v>241</v>
      </c>
      <c r="L191" t="s">
        <v>253</v>
      </c>
    </row>
    <row r="192" spans="1:14" ht="15">
      <c r="A192" s="4">
        <v>201405</v>
      </c>
      <c r="B192" t="s">
        <v>251</v>
      </c>
      <c r="C192" s="5">
        <v>6567989</v>
      </c>
      <c r="D192" s="2" t="s">
        <v>256</v>
      </c>
      <c r="E192" s="2" t="s">
        <v>15</v>
      </c>
      <c r="F192" s="3">
        <v>1.32</v>
      </c>
      <c r="G192" t="s">
        <v>57</v>
      </c>
      <c r="H192" s="1" t="s">
        <v>69</v>
      </c>
      <c r="I192">
        <f>-70098/42724/1</f>
        <v>-1.6407171613144838</v>
      </c>
      <c r="J192" t="s">
        <v>252</v>
      </c>
      <c r="K192" t="s">
        <v>241</v>
      </c>
      <c r="L192" t="s">
        <v>253</v>
      </c>
      <c r="N192" t="s">
        <v>58</v>
      </c>
    </row>
    <row r="193" spans="1:12" ht="15">
      <c r="A193" s="4">
        <v>201405</v>
      </c>
      <c r="B193" t="s">
        <v>251</v>
      </c>
      <c r="C193" s="5">
        <v>6567989</v>
      </c>
      <c r="D193" s="2" t="s">
        <v>256</v>
      </c>
      <c r="E193" s="2" t="s">
        <v>15</v>
      </c>
      <c r="F193" s="3">
        <v>22</v>
      </c>
      <c r="G193" t="s">
        <v>257</v>
      </c>
      <c r="H193" s="1" t="s">
        <v>69</v>
      </c>
      <c r="I193" t="e">
        <f>-freight</f>
        <v>#NAME?</v>
      </c>
      <c r="J193" t="s">
        <v>252</v>
      </c>
      <c r="K193" t="s">
        <v>241</v>
      </c>
      <c r="L193" t="s">
        <v>253</v>
      </c>
    </row>
    <row r="194" spans="1:12" ht="15">
      <c r="A194" s="4">
        <v>201407</v>
      </c>
      <c r="B194" t="s">
        <v>251</v>
      </c>
      <c r="C194" s="5">
        <v>6577374</v>
      </c>
      <c r="D194" s="2" t="s">
        <v>260</v>
      </c>
      <c r="E194" s="2" t="s">
        <v>261</v>
      </c>
      <c r="F194" s="3">
        <v>44.02</v>
      </c>
      <c r="H194" s="1" t="s">
        <v>14</v>
      </c>
      <c r="I194" t="s">
        <v>259</v>
      </c>
      <c r="J194" t="s">
        <v>252</v>
      </c>
      <c r="K194" t="s">
        <v>241</v>
      </c>
      <c r="L194" t="s">
        <v>253</v>
      </c>
    </row>
    <row r="195" spans="1:12" ht="15">
      <c r="A195" s="4">
        <v>201407</v>
      </c>
      <c r="B195" t="s">
        <v>251</v>
      </c>
      <c r="C195" s="5">
        <v>6577374</v>
      </c>
      <c r="D195" s="2" t="s">
        <v>260</v>
      </c>
      <c r="E195" s="2" t="s">
        <v>261</v>
      </c>
      <c r="F195" s="3">
        <v>249.03</v>
      </c>
      <c r="H195" s="1" t="s">
        <v>14</v>
      </c>
      <c r="I195" t="s">
        <v>262</v>
      </c>
      <c r="J195" t="s">
        <v>252</v>
      </c>
      <c r="K195" t="s">
        <v>241</v>
      </c>
      <c r="L195" t="s">
        <v>253</v>
      </c>
    </row>
    <row r="196" spans="1:12" ht="15">
      <c r="A196" s="4">
        <v>201407</v>
      </c>
      <c r="B196" t="s">
        <v>251</v>
      </c>
      <c r="C196" s="5">
        <v>6577374</v>
      </c>
      <c r="D196" s="2" t="s">
        <v>260</v>
      </c>
      <c r="E196" s="2" t="s">
        <v>261</v>
      </c>
      <c r="F196" s="3">
        <v>-498.06</v>
      </c>
      <c r="H196" s="1" t="s">
        <v>43</v>
      </c>
      <c r="I196" t="s">
        <v>262</v>
      </c>
      <c r="J196" t="s">
        <v>252</v>
      </c>
      <c r="K196" t="s">
        <v>241</v>
      </c>
      <c r="L196" t="s">
        <v>253</v>
      </c>
    </row>
    <row r="197" spans="1:12" ht="15">
      <c r="A197" s="4">
        <v>201406</v>
      </c>
      <c r="B197" t="s">
        <v>251</v>
      </c>
      <c r="C197" s="5">
        <v>6577374</v>
      </c>
      <c r="D197" s="2" t="s">
        <v>260</v>
      </c>
      <c r="E197" s="2" t="s">
        <v>261</v>
      </c>
      <c r="F197" s="3">
        <v>0.27</v>
      </c>
      <c r="H197" s="1" t="s">
        <v>66</v>
      </c>
      <c r="I197" t="s">
        <v>67</v>
      </c>
      <c r="J197" t="s">
        <v>252</v>
      </c>
      <c r="K197" t="s">
        <v>241</v>
      </c>
      <c r="L197" t="s">
        <v>253</v>
      </c>
    </row>
    <row r="198" spans="1:12" ht="15">
      <c r="A198" s="4">
        <v>201408</v>
      </c>
      <c r="B198" t="s">
        <v>251</v>
      </c>
      <c r="C198" s="5">
        <v>6580413</v>
      </c>
      <c r="D198" s="2" t="s">
        <v>264</v>
      </c>
      <c r="E198" s="2" t="s">
        <v>169</v>
      </c>
      <c r="F198" s="3">
        <v>8.99</v>
      </c>
      <c r="H198" s="1" t="s">
        <v>14</v>
      </c>
      <c r="I198" t="s">
        <v>263</v>
      </c>
      <c r="J198" t="s">
        <v>252</v>
      </c>
      <c r="K198" t="s">
        <v>241</v>
      </c>
      <c r="L198" t="s">
        <v>253</v>
      </c>
    </row>
    <row r="199" spans="1:12" ht="15">
      <c r="A199" s="4">
        <v>201408</v>
      </c>
      <c r="B199" t="s">
        <v>251</v>
      </c>
      <c r="C199" s="5">
        <v>6580413</v>
      </c>
      <c r="D199" s="2" t="s">
        <v>264</v>
      </c>
      <c r="E199" s="2" t="s">
        <v>169</v>
      </c>
      <c r="F199" s="3">
        <v>447.75</v>
      </c>
      <c r="H199" s="1" t="s">
        <v>14</v>
      </c>
      <c r="I199" t="s">
        <v>265</v>
      </c>
      <c r="J199" t="s">
        <v>252</v>
      </c>
      <c r="K199" t="s">
        <v>241</v>
      </c>
      <c r="L199" t="s">
        <v>253</v>
      </c>
    </row>
    <row r="200" spans="1:12" ht="15">
      <c r="A200" s="4">
        <v>201407</v>
      </c>
      <c r="B200" t="s">
        <v>251</v>
      </c>
      <c r="C200" s="5">
        <v>6580413</v>
      </c>
      <c r="D200" s="2" t="s">
        <v>264</v>
      </c>
      <c r="E200" s="2" t="s">
        <v>169</v>
      </c>
      <c r="F200" s="3">
        <v>1.56</v>
      </c>
      <c r="H200" s="1" t="s">
        <v>66</v>
      </c>
      <c r="I200" t="s">
        <v>67</v>
      </c>
      <c r="J200" t="s">
        <v>252</v>
      </c>
      <c r="K200" t="s">
        <v>241</v>
      </c>
      <c r="L200" t="s">
        <v>253</v>
      </c>
    </row>
    <row r="201" spans="1:12" ht="15">
      <c r="A201" s="4">
        <v>201408</v>
      </c>
      <c r="B201" t="s">
        <v>251</v>
      </c>
      <c r="C201" s="5">
        <v>6580413</v>
      </c>
      <c r="D201" s="2" t="s">
        <v>264</v>
      </c>
      <c r="E201" s="2" t="s">
        <v>169</v>
      </c>
      <c r="F201" s="3">
        <v>0.86</v>
      </c>
      <c r="H201" s="1" t="s">
        <v>66</v>
      </c>
      <c r="I201" t="s">
        <v>67</v>
      </c>
      <c r="J201" t="s">
        <v>252</v>
      </c>
      <c r="K201" t="s">
        <v>241</v>
      </c>
      <c r="L201" t="s">
        <v>253</v>
      </c>
    </row>
    <row r="202" spans="1:12" ht="15">
      <c r="A202" s="4">
        <v>201410</v>
      </c>
      <c r="B202" t="s">
        <v>251</v>
      </c>
      <c r="C202" s="5">
        <v>6580413</v>
      </c>
      <c r="D202" s="2" t="s">
        <v>264</v>
      </c>
      <c r="E202" s="2" t="s">
        <v>169</v>
      </c>
      <c r="F202" s="3">
        <v>1.06</v>
      </c>
      <c r="H202" s="1" t="s">
        <v>66</v>
      </c>
      <c r="I202" t="s">
        <v>67</v>
      </c>
      <c r="J202" t="s">
        <v>252</v>
      </c>
      <c r="K202" t="s">
        <v>241</v>
      </c>
      <c r="L202" t="s">
        <v>253</v>
      </c>
    </row>
    <row r="203" spans="1:12" ht="15">
      <c r="A203" s="4">
        <v>201412</v>
      </c>
      <c r="B203" t="s">
        <v>251</v>
      </c>
      <c r="C203" s="5">
        <v>6592277</v>
      </c>
      <c r="D203" s="2" t="s">
        <v>266</v>
      </c>
      <c r="E203" s="2" t="s">
        <v>99</v>
      </c>
      <c r="F203" s="3">
        <v>747.09</v>
      </c>
      <c r="H203" s="1" t="s">
        <v>14</v>
      </c>
      <c r="I203" t="s">
        <v>262</v>
      </c>
      <c r="J203" t="s">
        <v>252</v>
      </c>
      <c r="K203" t="s">
        <v>241</v>
      </c>
      <c r="L203" t="s">
        <v>253</v>
      </c>
    </row>
    <row r="204" spans="1:12" ht="15">
      <c r="A204" s="4">
        <v>201408</v>
      </c>
      <c r="B204" t="s">
        <v>251</v>
      </c>
      <c r="C204" s="5">
        <v>6592277</v>
      </c>
      <c r="D204" s="2" t="s">
        <v>266</v>
      </c>
      <c r="E204" s="2" t="s">
        <v>99</v>
      </c>
      <c r="F204" s="3">
        <v>0.22</v>
      </c>
      <c r="H204" s="1" t="s">
        <v>66</v>
      </c>
      <c r="I204" t="s">
        <v>67</v>
      </c>
      <c r="J204" t="s">
        <v>252</v>
      </c>
      <c r="K204" t="s">
        <v>241</v>
      </c>
      <c r="L204" t="s">
        <v>253</v>
      </c>
    </row>
    <row r="205" spans="1:12" ht="15">
      <c r="A205" s="4">
        <v>201412</v>
      </c>
      <c r="B205" t="s">
        <v>251</v>
      </c>
      <c r="C205" s="5">
        <v>6592277</v>
      </c>
      <c r="D205" s="2" t="s">
        <v>266</v>
      </c>
      <c r="E205" s="2" t="s">
        <v>99</v>
      </c>
      <c r="F205" s="3">
        <v>0.55</v>
      </c>
      <c r="H205" s="1" t="s">
        <v>66</v>
      </c>
      <c r="I205" t="s">
        <v>67</v>
      </c>
      <c r="J205" t="s">
        <v>252</v>
      </c>
      <c r="K205" t="s">
        <v>241</v>
      </c>
      <c r="L205" t="s">
        <v>253</v>
      </c>
    </row>
    <row r="206" spans="1:12" ht="15">
      <c r="A206" s="4">
        <v>201408</v>
      </c>
      <c r="B206" t="s">
        <v>251</v>
      </c>
      <c r="C206" s="5">
        <v>6592278</v>
      </c>
      <c r="D206" s="2" t="s">
        <v>267</v>
      </c>
      <c r="E206" s="2" t="s">
        <v>99</v>
      </c>
      <c r="F206" s="3">
        <v>0.22</v>
      </c>
      <c r="H206" s="1" t="s">
        <v>66</v>
      </c>
      <c r="I206" t="s">
        <v>67</v>
      </c>
      <c r="J206" t="s">
        <v>252</v>
      </c>
      <c r="K206" t="s">
        <v>241</v>
      </c>
      <c r="L206" t="s">
        <v>253</v>
      </c>
    </row>
    <row r="207" spans="1:12" ht="15">
      <c r="A207" s="4">
        <v>201412</v>
      </c>
      <c r="B207" t="s">
        <v>251</v>
      </c>
      <c r="C207" s="5">
        <v>6592278</v>
      </c>
      <c r="D207" s="2" t="s">
        <v>267</v>
      </c>
      <c r="E207" s="2" t="s">
        <v>99</v>
      </c>
      <c r="F207" s="3">
        <v>0.55</v>
      </c>
      <c r="H207" s="1" t="s">
        <v>66</v>
      </c>
      <c r="I207" t="s">
        <v>67</v>
      </c>
      <c r="J207" t="s">
        <v>252</v>
      </c>
      <c r="K207" t="s">
        <v>241</v>
      </c>
      <c r="L207" t="s">
        <v>253</v>
      </c>
    </row>
    <row r="208" spans="1:12" ht="15">
      <c r="A208" s="4">
        <v>201412</v>
      </c>
      <c r="B208" t="s">
        <v>251</v>
      </c>
      <c r="C208" s="5">
        <v>6632698</v>
      </c>
      <c r="D208" s="2" t="s">
        <v>268</v>
      </c>
      <c r="E208" s="2" t="s">
        <v>269</v>
      </c>
      <c r="F208" s="3">
        <v>1.24</v>
      </c>
      <c r="H208" s="1" t="s">
        <v>66</v>
      </c>
      <c r="I208" t="s">
        <v>67</v>
      </c>
      <c r="J208" t="s">
        <v>252</v>
      </c>
      <c r="K208" t="s">
        <v>241</v>
      </c>
      <c r="L208" t="s">
        <v>253</v>
      </c>
    </row>
    <row r="209" spans="1:12" ht="15">
      <c r="A209" s="4">
        <v>201402</v>
      </c>
      <c r="B209" t="s">
        <v>270</v>
      </c>
      <c r="C209" s="5">
        <v>6189270</v>
      </c>
      <c r="D209" s="2" t="s">
        <v>274</v>
      </c>
      <c r="E209" s="2" t="s">
        <v>169</v>
      </c>
      <c r="F209" s="3">
        <v>38.25</v>
      </c>
      <c r="H209" s="1" t="s">
        <v>14</v>
      </c>
      <c r="I209" t="s">
        <v>71</v>
      </c>
      <c r="J209" t="s">
        <v>271</v>
      </c>
      <c r="K209" t="s">
        <v>272</v>
      </c>
      <c r="L209" t="s">
        <v>273</v>
      </c>
    </row>
    <row r="210" spans="1:12" ht="15">
      <c r="A210" s="4">
        <v>201403</v>
      </c>
      <c r="B210" t="s">
        <v>270</v>
      </c>
      <c r="C210" s="5">
        <v>6189270</v>
      </c>
      <c r="D210" s="2" t="s">
        <v>274</v>
      </c>
      <c r="E210" s="2" t="s">
        <v>169</v>
      </c>
      <c r="F210" s="3">
        <v>5.53</v>
      </c>
      <c r="H210" s="1" t="s">
        <v>14</v>
      </c>
      <c r="I210" t="s">
        <v>32</v>
      </c>
      <c r="J210" t="s">
        <v>271</v>
      </c>
      <c r="K210" t="s">
        <v>272</v>
      </c>
      <c r="L210" t="s">
        <v>273</v>
      </c>
    </row>
    <row r="211" spans="1:13" ht="15">
      <c r="A211" s="4">
        <v>201405</v>
      </c>
      <c r="B211" t="s">
        <v>270</v>
      </c>
      <c r="C211" s="5">
        <v>6327090</v>
      </c>
      <c r="D211" s="2" t="s">
        <v>276</v>
      </c>
      <c r="E211" s="2" t="s">
        <v>15</v>
      </c>
      <c r="F211" s="3">
        <v>1179.91</v>
      </c>
      <c r="G211" t="s">
        <v>72</v>
      </c>
      <c r="H211" s="1" t="s">
        <v>44</v>
      </c>
      <c r="I211" t="s">
        <v>275</v>
      </c>
      <c r="J211" t="s">
        <v>271</v>
      </c>
      <c r="K211" t="s">
        <v>272</v>
      </c>
      <c r="L211" t="s">
        <v>273</v>
      </c>
      <c r="M211">
        <v>902298</v>
      </c>
    </row>
    <row r="212" spans="1:13" ht="15">
      <c r="A212" s="4">
        <v>201406</v>
      </c>
      <c r="B212" t="s">
        <v>270</v>
      </c>
      <c r="C212" s="5">
        <v>6327090</v>
      </c>
      <c r="D212" s="2" t="s">
        <v>276</v>
      </c>
      <c r="E212" s="2" t="s">
        <v>15</v>
      </c>
      <c r="F212" s="3">
        <v>-1015.27</v>
      </c>
      <c r="G212" t="s">
        <v>72</v>
      </c>
      <c r="H212" s="1" t="s">
        <v>44</v>
      </c>
      <c r="I212" t="s">
        <v>275</v>
      </c>
      <c r="J212" t="s">
        <v>271</v>
      </c>
      <c r="K212" t="s">
        <v>272</v>
      </c>
      <c r="L212" t="s">
        <v>273</v>
      </c>
      <c r="M212">
        <v>902298</v>
      </c>
    </row>
    <row r="213" spans="1:13" ht="15">
      <c r="A213" s="4">
        <v>201406</v>
      </c>
      <c r="B213" t="s">
        <v>270</v>
      </c>
      <c r="C213" s="5">
        <v>6327090</v>
      </c>
      <c r="D213" s="2" t="s">
        <v>276</v>
      </c>
      <c r="E213" s="2" t="s">
        <v>15</v>
      </c>
      <c r="F213" s="3">
        <v>0</v>
      </c>
      <c r="G213" t="s">
        <v>72</v>
      </c>
      <c r="H213" s="1" t="s">
        <v>44</v>
      </c>
      <c r="I213" t="s">
        <v>275</v>
      </c>
      <c r="J213" t="s">
        <v>271</v>
      </c>
      <c r="K213" t="s">
        <v>272</v>
      </c>
      <c r="L213" t="s">
        <v>273</v>
      </c>
      <c r="M213">
        <v>902298</v>
      </c>
    </row>
    <row r="214" spans="1:13" ht="15">
      <c r="A214" s="4">
        <v>201406</v>
      </c>
      <c r="B214" t="s">
        <v>270</v>
      </c>
      <c r="C214" s="5">
        <v>6327090</v>
      </c>
      <c r="D214" s="2" t="s">
        <v>276</v>
      </c>
      <c r="E214" s="2" t="s">
        <v>15</v>
      </c>
      <c r="F214" s="3">
        <v>5266.35</v>
      </c>
      <c r="G214" t="s">
        <v>72</v>
      </c>
      <c r="H214" s="1" t="s">
        <v>44</v>
      </c>
      <c r="I214" t="s">
        <v>275</v>
      </c>
      <c r="J214" t="s">
        <v>271</v>
      </c>
      <c r="K214" t="s">
        <v>272</v>
      </c>
      <c r="L214" t="s">
        <v>273</v>
      </c>
      <c r="M214">
        <v>902298</v>
      </c>
    </row>
    <row r="215" spans="1:12" ht="15">
      <c r="A215" s="4">
        <v>201403</v>
      </c>
      <c r="B215" t="s">
        <v>270</v>
      </c>
      <c r="C215" s="5">
        <v>6327090</v>
      </c>
      <c r="D215" s="2" t="s">
        <v>276</v>
      </c>
      <c r="E215" s="2" t="s">
        <v>15</v>
      </c>
      <c r="F215" s="3">
        <v>1385.72</v>
      </c>
      <c r="H215" s="1" t="s">
        <v>60</v>
      </c>
      <c r="I215" t="s">
        <v>277</v>
      </c>
      <c r="J215" t="s">
        <v>271</v>
      </c>
      <c r="K215" t="s">
        <v>272</v>
      </c>
      <c r="L215" t="s">
        <v>273</v>
      </c>
    </row>
    <row r="216" spans="1:12" ht="15">
      <c r="A216" s="4">
        <v>201404</v>
      </c>
      <c r="B216" t="s">
        <v>270</v>
      </c>
      <c r="C216" s="5">
        <v>6327090</v>
      </c>
      <c r="D216" s="2" t="s">
        <v>276</v>
      </c>
      <c r="E216" s="2" t="s">
        <v>15</v>
      </c>
      <c r="F216" s="3">
        <v>-1385.72</v>
      </c>
      <c r="H216" s="1" t="s">
        <v>60</v>
      </c>
      <c r="I216" t="s">
        <v>277</v>
      </c>
      <c r="J216" t="s">
        <v>271</v>
      </c>
      <c r="K216" t="s">
        <v>272</v>
      </c>
      <c r="L216" t="s">
        <v>273</v>
      </c>
    </row>
    <row r="217" spans="1:12" ht="15">
      <c r="A217" s="4">
        <v>201404</v>
      </c>
      <c r="B217" t="s">
        <v>270</v>
      </c>
      <c r="C217" s="5">
        <v>6327090</v>
      </c>
      <c r="D217" s="2" t="s">
        <v>276</v>
      </c>
      <c r="E217" s="2" t="s">
        <v>15</v>
      </c>
      <c r="F217" s="3">
        <v>17.51</v>
      </c>
      <c r="G217" t="s">
        <v>278</v>
      </c>
      <c r="H217" s="1" t="s">
        <v>60</v>
      </c>
      <c r="I217" t="e">
        <f>-INBOUND FRT</f>
        <v>#NAME?</v>
      </c>
      <c r="J217" t="s">
        <v>271</v>
      </c>
      <c r="K217" t="s">
        <v>272</v>
      </c>
      <c r="L217" t="s">
        <v>273</v>
      </c>
    </row>
    <row r="218" spans="1:14" ht="15">
      <c r="A218" s="4">
        <v>201404</v>
      </c>
      <c r="B218" t="s">
        <v>270</v>
      </c>
      <c r="C218" s="5">
        <v>6327090</v>
      </c>
      <c r="D218" s="2" t="s">
        <v>276</v>
      </c>
      <c r="E218" s="2" t="s">
        <v>15</v>
      </c>
      <c r="F218" s="3">
        <v>91.08</v>
      </c>
      <c r="G218" t="s">
        <v>57</v>
      </c>
      <c r="H218" s="1" t="s">
        <v>60</v>
      </c>
      <c r="I218">
        <f>-13358/5047885/1</f>
        <v>-0.0026462567986394302</v>
      </c>
      <c r="J218" t="s">
        <v>271</v>
      </c>
      <c r="K218" t="s">
        <v>272</v>
      </c>
      <c r="L218" t="s">
        <v>273</v>
      </c>
      <c r="N218" t="s">
        <v>58</v>
      </c>
    </row>
    <row r="219" spans="1:14" ht="15">
      <c r="A219" s="4">
        <v>201404</v>
      </c>
      <c r="B219" t="s">
        <v>270</v>
      </c>
      <c r="C219" s="5">
        <v>6327090</v>
      </c>
      <c r="D219" s="2" t="s">
        <v>276</v>
      </c>
      <c r="E219" s="2" t="s">
        <v>15</v>
      </c>
      <c r="F219" s="3">
        <v>126</v>
      </c>
      <c r="G219" t="s">
        <v>57</v>
      </c>
      <c r="H219" s="1" t="s">
        <v>60</v>
      </c>
      <c r="I219">
        <f>-72123/4116088/1</f>
        <v>-0.01752222012746083</v>
      </c>
      <c r="J219" t="s">
        <v>271</v>
      </c>
      <c r="K219" t="s">
        <v>272</v>
      </c>
      <c r="L219" t="s">
        <v>273</v>
      </c>
      <c r="N219" t="s">
        <v>58</v>
      </c>
    </row>
    <row r="220" spans="1:13" ht="15">
      <c r="A220" s="4">
        <v>201404</v>
      </c>
      <c r="B220" t="s">
        <v>270</v>
      </c>
      <c r="C220" s="5">
        <v>6327090</v>
      </c>
      <c r="D220" s="2" t="s">
        <v>276</v>
      </c>
      <c r="E220" s="2" t="s">
        <v>15</v>
      </c>
      <c r="F220" s="3">
        <v>699.99</v>
      </c>
      <c r="G220" t="s">
        <v>110</v>
      </c>
      <c r="H220" s="1" t="s">
        <v>60</v>
      </c>
      <c r="I220" t="s">
        <v>279</v>
      </c>
      <c r="J220" t="s">
        <v>271</v>
      </c>
      <c r="K220" t="s">
        <v>272</v>
      </c>
      <c r="L220" t="s">
        <v>273</v>
      </c>
      <c r="M220">
        <v>902356</v>
      </c>
    </row>
    <row r="221" spans="1:13" ht="15">
      <c r="A221" s="4">
        <v>201404</v>
      </c>
      <c r="B221" t="s">
        <v>270</v>
      </c>
      <c r="C221" s="5">
        <v>6327090</v>
      </c>
      <c r="D221" s="2" t="s">
        <v>276</v>
      </c>
      <c r="E221" s="2" t="s">
        <v>15</v>
      </c>
      <c r="F221" s="3">
        <v>1358.01</v>
      </c>
      <c r="G221" t="s">
        <v>110</v>
      </c>
      <c r="H221" s="1" t="s">
        <v>60</v>
      </c>
      <c r="I221" t="s">
        <v>280</v>
      </c>
      <c r="J221" t="s">
        <v>271</v>
      </c>
      <c r="K221" t="s">
        <v>272</v>
      </c>
      <c r="L221" t="s">
        <v>273</v>
      </c>
      <c r="M221">
        <v>902356</v>
      </c>
    </row>
    <row r="222" spans="1:13" ht="15">
      <c r="A222" s="4">
        <v>201404</v>
      </c>
      <c r="B222" t="s">
        <v>270</v>
      </c>
      <c r="C222" s="5">
        <v>6327090</v>
      </c>
      <c r="D222" s="2" t="s">
        <v>276</v>
      </c>
      <c r="E222" s="2" t="s">
        <v>15</v>
      </c>
      <c r="F222" s="3">
        <v>1518</v>
      </c>
      <c r="G222" t="s">
        <v>278</v>
      </c>
      <c r="H222" s="1" t="s">
        <v>60</v>
      </c>
      <c r="I222" t="s">
        <v>281</v>
      </c>
      <c r="J222" t="s">
        <v>271</v>
      </c>
      <c r="K222" t="s">
        <v>272</v>
      </c>
      <c r="L222" t="s">
        <v>273</v>
      </c>
      <c r="M222">
        <v>902318</v>
      </c>
    </row>
    <row r="223" spans="1:14" ht="15">
      <c r="A223" s="4">
        <v>201404</v>
      </c>
      <c r="B223" t="s">
        <v>270</v>
      </c>
      <c r="C223" s="5">
        <v>6327090</v>
      </c>
      <c r="D223" s="2" t="s">
        <v>276</v>
      </c>
      <c r="E223" s="2" t="s">
        <v>15</v>
      </c>
      <c r="F223" s="3">
        <v>10.5</v>
      </c>
      <c r="G223" t="s">
        <v>57</v>
      </c>
      <c r="H223" s="1" t="s">
        <v>69</v>
      </c>
      <c r="I223">
        <f>-65289/60572/1</f>
        <v>-1.0778742653371194</v>
      </c>
      <c r="J223" t="s">
        <v>271</v>
      </c>
      <c r="K223" t="s">
        <v>272</v>
      </c>
      <c r="L223" t="s">
        <v>273</v>
      </c>
      <c r="N223" t="s">
        <v>58</v>
      </c>
    </row>
    <row r="224" spans="1:14" ht="15">
      <c r="A224" s="4">
        <v>201404</v>
      </c>
      <c r="B224" t="s">
        <v>270</v>
      </c>
      <c r="C224" s="5">
        <v>6327090</v>
      </c>
      <c r="D224" s="2" t="s">
        <v>276</v>
      </c>
      <c r="E224" s="2" t="s">
        <v>15</v>
      </c>
      <c r="F224" s="3">
        <v>13.74</v>
      </c>
      <c r="G224" t="s">
        <v>57</v>
      </c>
      <c r="H224" s="1" t="s">
        <v>69</v>
      </c>
      <c r="I224">
        <f>-72123/4116088/1</f>
        <v>-0.01752222012746083</v>
      </c>
      <c r="J224" t="s">
        <v>271</v>
      </c>
      <c r="K224" t="s">
        <v>272</v>
      </c>
      <c r="L224" t="s">
        <v>273</v>
      </c>
      <c r="N224" t="s">
        <v>58</v>
      </c>
    </row>
    <row r="225" spans="1:12" ht="15">
      <c r="A225" s="4">
        <v>201404</v>
      </c>
      <c r="B225" t="s">
        <v>270</v>
      </c>
      <c r="C225" s="5">
        <v>6327090</v>
      </c>
      <c r="D225" s="2" t="s">
        <v>276</v>
      </c>
      <c r="E225" s="2" t="s">
        <v>15</v>
      </c>
      <c r="F225" s="3">
        <v>175</v>
      </c>
      <c r="G225" t="s">
        <v>282</v>
      </c>
      <c r="H225" s="1" t="s">
        <v>69</v>
      </c>
      <c r="I225" t="s">
        <v>283</v>
      </c>
      <c r="J225" t="s">
        <v>271</v>
      </c>
      <c r="K225" t="s">
        <v>272</v>
      </c>
      <c r="L225" t="s">
        <v>273</v>
      </c>
    </row>
    <row r="226" spans="1:12" ht="15">
      <c r="A226" s="4">
        <v>201404</v>
      </c>
      <c r="B226" t="s">
        <v>270</v>
      </c>
      <c r="C226" s="5">
        <v>6327090</v>
      </c>
      <c r="D226" s="2" t="s">
        <v>276</v>
      </c>
      <c r="E226" s="2" t="s">
        <v>15</v>
      </c>
      <c r="F226" s="3">
        <v>229.07</v>
      </c>
      <c r="G226" t="s">
        <v>110</v>
      </c>
      <c r="H226" s="1" t="s">
        <v>69</v>
      </c>
      <c r="I226" t="e">
        <f>-freight</f>
        <v>#NAME?</v>
      </c>
      <c r="J226" t="s">
        <v>271</v>
      </c>
      <c r="K226" t="s">
        <v>272</v>
      </c>
      <c r="L226" t="s">
        <v>273</v>
      </c>
    </row>
    <row r="227" spans="1:14" ht="15">
      <c r="A227" s="4">
        <v>201406</v>
      </c>
      <c r="B227" t="s">
        <v>270</v>
      </c>
      <c r="C227" s="5">
        <v>6327090</v>
      </c>
      <c r="D227" s="2" t="s">
        <v>276</v>
      </c>
      <c r="E227" s="2" t="s">
        <v>15</v>
      </c>
      <c r="F227" s="3">
        <v>7.99</v>
      </c>
      <c r="G227" t="s">
        <v>57</v>
      </c>
      <c r="H227" s="1" t="s">
        <v>69</v>
      </c>
      <c r="I227">
        <f>-13358/5050354/1</f>
        <v>-0.002644963105556561</v>
      </c>
      <c r="J227" t="s">
        <v>271</v>
      </c>
      <c r="K227" t="s">
        <v>272</v>
      </c>
      <c r="L227" t="s">
        <v>273</v>
      </c>
      <c r="N227" t="s">
        <v>58</v>
      </c>
    </row>
    <row r="228" spans="1:12" ht="15">
      <c r="A228" s="4">
        <v>201406</v>
      </c>
      <c r="B228" t="s">
        <v>270</v>
      </c>
      <c r="C228" s="5">
        <v>6327090</v>
      </c>
      <c r="D228" s="2" t="s">
        <v>276</v>
      </c>
      <c r="E228" s="2" t="s">
        <v>15</v>
      </c>
      <c r="F228" s="3">
        <v>133.24</v>
      </c>
      <c r="G228" t="s">
        <v>278</v>
      </c>
      <c r="H228" s="1" t="s">
        <v>69</v>
      </c>
      <c r="I228" t="s">
        <v>284</v>
      </c>
      <c r="J228" t="s">
        <v>271</v>
      </c>
      <c r="K228" t="s">
        <v>272</v>
      </c>
      <c r="L228" t="s">
        <v>273</v>
      </c>
    </row>
    <row r="229" spans="1:12" ht="15">
      <c r="A229" s="4">
        <v>201404</v>
      </c>
      <c r="B229" t="s">
        <v>270</v>
      </c>
      <c r="C229" s="5">
        <v>6411189</v>
      </c>
      <c r="D229" s="2" t="s">
        <v>286</v>
      </c>
      <c r="E229" s="2" t="s">
        <v>15</v>
      </c>
      <c r="F229" s="3">
        <v>1.39</v>
      </c>
      <c r="H229" s="1" t="s">
        <v>14</v>
      </c>
      <c r="I229" t="s">
        <v>285</v>
      </c>
      <c r="J229" t="s">
        <v>271</v>
      </c>
      <c r="K229" t="s">
        <v>272</v>
      </c>
      <c r="L229" t="s">
        <v>273</v>
      </c>
    </row>
    <row r="230" spans="1:12" ht="15">
      <c r="A230" s="4">
        <v>201404</v>
      </c>
      <c r="B230" t="s">
        <v>270</v>
      </c>
      <c r="C230" s="5">
        <v>6411189</v>
      </c>
      <c r="D230" s="2" t="s">
        <v>286</v>
      </c>
      <c r="E230" s="2" t="s">
        <v>15</v>
      </c>
      <c r="F230" s="3">
        <v>9.4</v>
      </c>
      <c r="H230" s="1" t="s">
        <v>14</v>
      </c>
      <c r="I230" t="s">
        <v>287</v>
      </c>
      <c r="J230" t="s">
        <v>271</v>
      </c>
      <c r="K230" t="s">
        <v>272</v>
      </c>
      <c r="L230" t="s">
        <v>273</v>
      </c>
    </row>
    <row r="231" spans="1:12" ht="15">
      <c r="A231" s="4">
        <v>201404</v>
      </c>
      <c r="B231" t="s">
        <v>270</v>
      </c>
      <c r="C231" s="5">
        <v>6411189</v>
      </c>
      <c r="D231" s="2" t="s">
        <v>286</v>
      </c>
      <c r="E231" s="2" t="s">
        <v>15</v>
      </c>
      <c r="F231" s="3">
        <v>10.56</v>
      </c>
      <c r="H231" s="1" t="s">
        <v>14</v>
      </c>
      <c r="I231" t="s">
        <v>288</v>
      </c>
      <c r="J231" t="s">
        <v>271</v>
      </c>
      <c r="K231" t="s">
        <v>272</v>
      </c>
      <c r="L231" t="s">
        <v>273</v>
      </c>
    </row>
    <row r="232" spans="1:12" ht="15">
      <c r="A232" s="4">
        <v>201404</v>
      </c>
      <c r="B232" t="s">
        <v>270</v>
      </c>
      <c r="C232" s="5">
        <v>6411189</v>
      </c>
      <c r="D232" s="2" t="s">
        <v>286</v>
      </c>
      <c r="E232" s="2" t="s">
        <v>15</v>
      </c>
      <c r="F232" s="3">
        <v>21</v>
      </c>
      <c r="H232" s="1" t="s">
        <v>14</v>
      </c>
      <c r="I232" t="s">
        <v>289</v>
      </c>
      <c r="J232" t="s">
        <v>271</v>
      </c>
      <c r="K232" t="s">
        <v>272</v>
      </c>
      <c r="L232" t="s">
        <v>273</v>
      </c>
    </row>
    <row r="233" spans="1:12" ht="15">
      <c r="A233" s="4">
        <v>201404</v>
      </c>
      <c r="B233" t="s">
        <v>270</v>
      </c>
      <c r="C233" s="5">
        <v>6411189</v>
      </c>
      <c r="D233" s="2" t="s">
        <v>286</v>
      </c>
      <c r="E233" s="2" t="s">
        <v>15</v>
      </c>
      <c r="F233" s="3">
        <v>22.7</v>
      </c>
      <c r="H233" s="1" t="s">
        <v>14</v>
      </c>
      <c r="I233" t="s">
        <v>290</v>
      </c>
      <c r="J233" t="s">
        <v>271</v>
      </c>
      <c r="K233" t="s">
        <v>272</v>
      </c>
      <c r="L233" t="s">
        <v>273</v>
      </c>
    </row>
    <row r="234" spans="1:12" ht="15">
      <c r="A234" s="4">
        <v>201404</v>
      </c>
      <c r="B234" t="s">
        <v>270</v>
      </c>
      <c r="C234" s="5">
        <v>6411189</v>
      </c>
      <c r="D234" s="2" t="s">
        <v>286</v>
      </c>
      <c r="E234" s="2" t="s">
        <v>15</v>
      </c>
      <c r="F234" s="3">
        <v>26.97</v>
      </c>
      <c r="H234" s="1" t="s">
        <v>14</v>
      </c>
      <c r="I234" t="s">
        <v>291</v>
      </c>
      <c r="J234" t="s">
        <v>271</v>
      </c>
      <c r="K234" t="s">
        <v>272</v>
      </c>
      <c r="L234" t="s">
        <v>273</v>
      </c>
    </row>
    <row r="235" spans="1:12" ht="15">
      <c r="A235" s="4">
        <v>201404</v>
      </c>
      <c r="B235" t="s">
        <v>270</v>
      </c>
      <c r="C235" s="5">
        <v>6411189</v>
      </c>
      <c r="D235" s="2" t="s">
        <v>286</v>
      </c>
      <c r="E235" s="2" t="s">
        <v>15</v>
      </c>
      <c r="F235" s="3">
        <v>40.85</v>
      </c>
      <c r="H235" s="1" t="s">
        <v>14</v>
      </c>
      <c r="I235" t="s">
        <v>292</v>
      </c>
      <c r="J235" t="s">
        <v>271</v>
      </c>
      <c r="K235" t="s">
        <v>272</v>
      </c>
      <c r="L235" t="s">
        <v>273</v>
      </c>
    </row>
    <row r="236" spans="1:12" ht="15">
      <c r="A236" s="4">
        <v>201403</v>
      </c>
      <c r="B236" t="s">
        <v>270</v>
      </c>
      <c r="C236" s="5">
        <v>6411189</v>
      </c>
      <c r="D236" s="2" t="s">
        <v>286</v>
      </c>
      <c r="E236" s="2" t="s">
        <v>15</v>
      </c>
      <c r="F236" s="3">
        <v>4142</v>
      </c>
      <c r="H236" s="1" t="s">
        <v>60</v>
      </c>
      <c r="I236" t="s">
        <v>293</v>
      </c>
      <c r="J236" t="s">
        <v>271</v>
      </c>
      <c r="K236" t="s">
        <v>272</v>
      </c>
      <c r="L236" t="s">
        <v>273</v>
      </c>
    </row>
    <row r="237" spans="1:12" ht="15">
      <c r="A237" s="4">
        <v>201404</v>
      </c>
      <c r="B237" t="s">
        <v>270</v>
      </c>
      <c r="C237" s="5">
        <v>6411189</v>
      </c>
      <c r="D237" s="2" t="s">
        <v>286</v>
      </c>
      <c r="E237" s="2" t="s">
        <v>15</v>
      </c>
      <c r="F237" s="3">
        <v>-4142</v>
      </c>
      <c r="H237" s="1" t="s">
        <v>60</v>
      </c>
      <c r="I237" t="s">
        <v>293</v>
      </c>
      <c r="J237" t="s">
        <v>271</v>
      </c>
      <c r="K237" t="s">
        <v>272</v>
      </c>
      <c r="L237" t="s">
        <v>273</v>
      </c>
    </row>
    <row r="238" spans="1:14" ht="15">
      <c r="A238" s="4">
        <v>201404</v>
      </c>
      <c r="B238" t="s">
        <v>270</v>
      </c>
      <c r="C238" s="5">
        <v>6411189</v>
      </c>
      <c r="D238" s="2" t="s">
        <v>286</v>
      </c>
      <c r="E238" s="2" t="s">
        <v>15</v>
      </c>
      <c r="F238" s="3">
        <v>248.52</v>
      </c>
      <c r="G238" t="s">
        <v>57</v>
      </c>
      <c r="H238" s="1" t="s">
        <v>60</v>
      </c>
      <c r="I238">
        <f>-18016/817993/1</f>
        <v>-0.02202463835265094</v>
      </c>
      <c r="J238" t="s">
        <v>271</v>
      </c>
      <c r="K238" t="s">
        <v>272</v>
      </c>
      <c r="L238" t="s">
        <v>273</v>
      </c>
      <c r="N238" t="s">
        <v>58</v>
      </c>
    </row>
    <row r="239" spans="1:13" ht="15">
      <c r="A239" s="4">
        <v>201404</v>
      </c>
      <c r="B239" t="s">
        <v>270</v>
      </c>
      <c r="C239" s="5">
        <v>6411189</v>
      </c>
      <c r="D239" s="2" t="s">
        <v>286</v>
      </c>
      <c r="E239" s="2" t="s">
        <v>15</v>
      </c>
      <c r="F239" s="3">
        <v>4142</v>
      </c>
      <c r="G239" t="s">
        <v>294</v>
      </c>
      <c r="H239" s="1" t="s">
        <v>60</v>
      </c>
      <c r="I239" t="s">
        <v>295</v>
      </c>
      <c r="J239" t="s">
        <v>271</v>
      </c>
      <c r="K239" t="s">
        <v>272</v>
      </c>
      <c r="L239" t="s">
        <v>273</v>
      </c>
      <c r="M239">
        <v>900629</v>
      </c>
    </row>
    <row r="240" spans="1:14" ht="15">
      <c r="A240" s="4">
        <v>201404</v>
      </c>
      <c r="B240" t="s">
        <v>270</v>
      </c>
      <c r="C240" s="5">
        <v>6411189</v>
      </c>
      <c r="D240" s="2" t="s">
        <v>286</v>
      </c>
      <c r="E240" s="2" t="s">
        <v>15</v>
      </c>
      <c r="F240" s="3">
        <v>7.97</v>
      </c>
      <c r="G240" t="s">
        <v>57</v>
      </c>
      <c r="H240" s="1" t="s">
        <v>69</v>
      </c>
      <c r="I240">
        <f>-18016/817993/1</f>
        <v>-0.02202463835265094</v>
      </c>
      <c r="J240" t="s">
        <v>271</v>
      </c>
      <c r="K240" t="s">
        <v>272</v>
      </c>
      <c r="L240" t="s">
        <v>273</v>
      </c>
      <c r="N240" t="s">
        <v>58</v>
      </c>
    </row>
    <row r="241" spans="1:12" ht="15">
      <c r="A241" s="4">
        <v>201404</v>
      </c>
      <c r="B241" t="s">
        <v>270</v>
      </c>
      <c r="C241" s="5">
        <v>6411189</v>
      </c>
      <c r="D241" s="2" t="s">
        <v>286</v>
      </c>
      <c r="E241" s="2" t="s">
        <v>15</v>
      </c>
      <c r="F241" s="3">
        <v>132.91</v>
      </c>
      <c r="G241" t="s">
        <v>294</v>
      </c>
      <c r="H241" s="1" t="s">
        <v>69</v>
      </c>
      <c r="I241" t="e">
        <f>-freight</f>
        <v>#NAME?</v>
      </c>
      <c r="J241" t="s">
        <v>271</v>
      </c>
      <c r="K241" t="s">
        <v>272</v>
      </c>
      <c r="L241" t="s">
        <v>273</v>
      </c>
    </row>
    <row r="242" spans="1:13" ht="15">
      <c r="A242" s="4">
        <v>201406</v>
      </c>
      <c r="B242" t="s">
        <v>270</v>
      </c>
      <c r="C242" s="5">
        <v>6428808</v>
      </c>
      <c r="D242" s="2" t="s">
        <v>297</v>
      </c>
      <c r="E242" s="2" t="s">
        <v>15</v>
      </c>
      <c r="F242" s="3">
        <v>10811.28</v>
      </c>
      <c r="G242" t="s">
        <v>294</v>
      </c>
      <c r="H242" s="1" t="s">
        <v>44</v>
      </c>
      <c r="I242" t="s">
        <v>296</v>
      </c>
      <c r="J242" t="s">
        <v>271</v>
      </c>
      <c r="K242" t="s">
        <v>272</v>
      </c>
      <c r="L242" t="s">
        <v>273</v>
      </c>
      <c r="M242">
        <v>906303</v>
      </c>
    </row>
    <row r="243" spans="1:12" ht="15">
      <c r="A243" s="4">
        <v>201403</v>
      </c>
      <c r="B243" t="s">
        <v>270</v>
      </c>
      <c r="C243" s="5">
        <v>6428808</v>
      </c>
      <c r="D243" s="2" t="s">
        <v>297</v>
      </c>
      <c r="E243" s="2" t="s">
        <v>15</v>
      </c>
      <c r="F243" s="3">
        <v>16720</v>
      </c>
      <c r="H243" s="1" t="s">
        <v>78</v>
      </c>
      <c r="I243" t="s">
        <v>298</v>
      </c>
      <c r="J243" t="s">
        <v>271</v>
      </c>
      <c r="K243" t="s">
        <v>272</v>
      </c>
      <c r="L243" t="s">
        <v>273</v>
      </c>
    </row>
    <row r="244" spans="1:12" ht="15">
      <c r="A244" s="4">
        <v>201404</v>
      </c>
      <c r="B244" t="s">
        <v>270</v>
      </c>
      <c r="C244" s="5">
        <v>6428808</v>
      </c>
      <c r="D244" s="2" t="s">
        <v>297</v>
      </c>
      <c r="E244" s="2" t="s">
        <v>15</v>
      </c>
      <c r="F244" s="3">
        <v>-16720</v>
      </c>
      <c r="H244" s="1" t="s">
        <v>78</v>
      </c>
      <c r="I244" t="s">
        <v>298</v>
      </c>
      <c r="J244" t="s">
        <v>271</v>
      </c>
      <c r="K244" t="s">
        <v>272</v>
      </c>
      <c r="L244" t="s">
        <v>273</v>
      </c>
    </row>
    <row r="245" spans="1:13" ht="15">
      <c r="A245" s="4">
        <v>201404</v>
      </c>
      <c r="B245" t="s">
        <v>270</v>
      </c>
      <c r="C245" s="5">
        <v>6428808</v>
      </c>
      <c r="D245" s="2" t="s">
        <v>297</v>
      </c>
      <c r="E245" s="2" t="s">
        <v>15</v>
      </c>
      <c r="F245" s="3">
        <v>16720</v>
      </c>
      <c r="G245" t="s">
        <v>299</v>
      </c>
      <c r="H245" s="1" t="s">
        <v>78</v>
      </c>
      <c r="I245" t="e">
        <f>-labor/MATERIAL-Vacuum pump Repairs</f>
        <v>#NAME?</v>
      </c>
      <c r="J245" t="s">
        <v>271</v>
      </c>
      <c r="K245" t="s">
        <v>272</v>
      </c>
      <c r="L245" t="s">
        <v>273</v>
      </c>
      <c r="M245">
        <v>900013</v>
      </c>
    </row>
    <row r="246" spans="1:12" ht="15">
      <c r="A246" s="4">
        <v>201402</v>
      </c>
      <c r="B246" t="s">
        <v>270</v>
      </c>
      <c r="C246" s="5">
        <v>6428808</v>
      </c>
      <c r="D246" s="2" t="s">
        <v>297</v>
      </c>
      <c r="E246" s="2" t="s">
        <v>15</v>
      </c>
      <c r="F246" s="3">
        <v>3.92</v>
      </c>
      <c r="H246" s="1" t="s">
        <v>66</v>
      </c>
      <c r="I246" t="s">
        <v>67</v>
      </c>
      <c r="J246" t="s">
        <v>271</v>
      </c>
      <c r="K246" t="s">
        <v>272</v>
      </c>
      <c r="L246" t="s">
        <v>273</v>
      </c>
    </row>
    <row r="247" spans="1:12" ht="15">
      <c r="A247" s="4">
        <v>201404</v>
      </c>
      <c r="B247" t="s">
        <v>270</v>
      </c>
      <c r="C247" s="5">
        <v>6428808</v>
      </c>
      <c r="D247" s="2" t="s">
        <v>297</v>
      </c>
      <c r="E247" s="2" t="s">
        <v>15</v>
      </c>
      <c r="F247" s="3">
        <v>3.66</v>
      </c>
      <c r="H247" s="1" t="s">
        <v>66</v>
      </c>
      <c r="I247" t="s">
        <v>67</v>
      </c>
      <c r="J247" t="s">
        <v>271</v>
      </c>
      <c r="K247" t="s">
        <v>272</v>
      </c>
      <c r="L247" t="s">
        <v>273</v>
      </c>
    </row>
    <row r="248" spans="1:14" ht="15">
      <c r="A248" s="4">
        <v>201404</v>
      </c>
      <c r="B248" t="s">
        <v>270</v>
      </c>
      <c r="C248" s="5">
        <v>6428808</v>
      </c>
      <c r="D248" s="2" t="s">
        <v>297</v>
      </c>
      <c r="E248" s="2" t="s">
        <v>15</v>
      </c>
      <c r="F248" s="3">
        <v>14.86</v>
      </c>
      <c r="G248" t="s">
        <v>57</v>
      </c>
      <c r="H248" s="1" t="s">
        <v>69</v>
      </c>
      <c r="I248">
        <f>-65741/92979516/1</f>
        <v>-0.000707048206187694</v>
      </c>
      <c r="J248" t="s">
        <v>271</v>
      </c>
      <c r="K248" t="s">
        <v>272</v>
      </c>
      <c r="L248" t="s">
        <v>273</v>
      </c>
      <c r="N248" t="s">
        <v>58</v>
      </c>
    </row>
    <row r="249" spans="1:12" ht="15">
      <c r="A249" s="4">
        <v>201404</v>
      </c>
      <c r="B249" t="s">
        <v>270</v>
      </c>
      <c r="C249" s="5">
        <v>6428808</v>
      </c>
      <c r="D249" s="2" t="s">
        <v>297</v>
      </c>
      <c r="E249" s="2" t="s">
        <v>15</v>
      </c>
      <c r="F249" s="3">
        <v>247.74</v>
      </c>
      <c r="G249" t="s">
        <v>299</v>
      </c>
      <c r="H249" s="1" t="s">
        <v>69</v>
      </c>
      <c r="I249" t="e">
        <f>-freight</f>
        <v>#NAME?</v>
      </c>
      <c r="J249" t="s">
        <v>271</v>
      </c>
      <c r="K249" t="s">
        <v>272</v>
      </c>
      <c r="L249" t="s">
        <v>273</v>
      </c>
    </row>
    <row r="250" spans="1:12" ht="15">
      <c r="A250" s="4">
        <v>201404</v>
      </c>
      <c r="B250" t="s">
        <v>270</v>
      </c>
      <c r="C250" s="5">
        <v>6428808</v>
      </c>
      <c r="D250" s="2" t="s">
        <v>297</v>
      </c>
      <c r="E250" s="2" t="s">
        <v>15</v>
      </c>
      <c r="F250" s="3">
        <v>620.69</v>
      </c>
      <c r="G250" t="s">
        <v>83</v>
      </c>
      <c r="H250" s="1" t="s">
        <v>69</v>
      </c>
      <c r="I250" t="e">
        <f>-freight FOR pump at Trimble</f>
        <v>#NAME?</v>
      </c>
      <c r="J250" t="s">
        <v>271</v>
      </c>
      <c r="K250" t="s">
        <v>272</v>
      </c>
      <c r="L250" t="s">
        <v>273</v>
      </c>
    </row>
    <row r="251" spans="1:12" ht="15">
      <c r="A251" s="4">
        <v>201402</v>
      </c>
      <c r="B251" t="s">
        <v>270</v>
      </c>
      <c r="C251" s="5">
        <v>6439451</v>
      </c>
      <c r="D251" s="2" t="s">
        <v>301</v>
      </c>
      <c r="E251" s="2" t="s">
        <v>15</v>
      </c>
      <c r="F251" s="3">
        <v>0.58</v>
      </c>
      <c r="H251" s="1" t="s">
        <v>14</v>
      </c>
      <c r="I251" t="s">
        <v>300</v>
      </c>
      <c r="J251" t="s">
        <v>271</v>
      </c>
      <c r="K251" t="s">
        <v>272</v>
      </c>
      <c r="L251" t="s">
        <v>273</v>
      </c>
    </row>
    <row r="252" spans="1:12" ht="15">
      <c r="A252" s="4">
        <v>201402</v>
      </c>
      <c r="B252" t="s">
        <v>270</v>
      </c>
      <c r="C252" s="5">
        <v>6439451</v>
      </c>
      <c r="D252" s="2" t="s">
        <v>301</v>
      </c>
      <c r="E252" s="2" t="s">
        <v>15</v>
      </c>
      <c r="F252" s="3">
        <v>0.88</v>
      </c>
      <c r="H252" s="1" t="s">
        <v>14</v>
      </c>
      <c r="I252" t="s">
        <v>84</v>
      </c>
      <c r="J252" t="s">
        <v>271</v>
      </c>
      <c r="K252" t="s">
        <v>272</v>
      </c>
      <c r="L252" t="s">
        <v>273</v>
      </c>
    </row>
    <row r="253" spans="1:12" ht="15">
      <c r="A253" s="4">
        <v>201402</v>
      </c>
      <c r="B253" t="s">
        <v>270</v>
      </c>
      <c r="C253" s="5">
        <v>6439451</v>
      </c>
      <c r="D253" s="2" t="s">
        <v>301</v>
      </c>
      <c r="E253" s="2" t="s">
        <v>15</v>
      </c>
      <c r="F253" s="3">
        <v>1.3</v>
      </c>
      <c r="H253" s="1" t="s">
        <v>14</v>
      </c>
      <c r="I253" t="s">
        <v>302</v>
      </c>
      <c r="J253" t="s">
        <v>271</v>
      </c>
      <c r="K253" t="s">
        <v>272</v>
      </c>
      <c r="L253" t="s">
        <v>273</v>
      </c>
    </row>
    <row r="254" spans="1:12" ht="15">
      <c r="A254" s="4">
        <v>201402</v>
      </c>
      <c r="B254" t="s">
        <v>270</v>
      </c>
      <c r="C254" s="5">
        <v>6439451</v>
      </c>
      <c r="D254" s="2" t="s">
        <v>301</v>
      </c>
      <c r="E254" s="2" t="s">
        <v>15</v>
      </c>
      <c r="F254" s="3">
        <v>2.3</v>
      </c>
      <c r="H254" s="1" t="s">
        <v>14</v>
      </c>
      <c r="I254" t="s">
        <v>303</v>
      </c>
      <c r="J254" t="s">
        <v>271</v>
      </c>
      <c r="K254" t="s">
        <v>272</v>
      </c>
      <c r="L254" t="s">
        <v>273</v>
      </c>
    </row>
    <row r="255" spans="1:12" ht="15">
      <c r="A255" s="4">
        <v>201402</v>
      </c>
      <c r="B255" t="s">
        <v>270</v>
      </c>
      <c r="C255" s="5">
        <v>6439451</v>
      </c>
      <c r="D255" s="2" t="s">
        <v>301</v>
      </c>
      <c r="E255" s="2" t="s">
        <v>15</v>
      </c>
      <c r="F255" s="3">
        <v>21</v>
      </c>
      <c r="H255" s="1" t="s">
        <v>14</v>
      </c>
      <c r="I255" t="s">
        <v>151</v>
      </c>
      <c r="J255" t="s">
        <v>271</v>
      </c>
      <c r="K255" t="s">
        <v>272</v>
      </c>
      <c r="L255" t="s">
        <v>273</v>
      </c>
    </row>
    <row r="256" spans="1:12" ht="15">
      <c r="A256" s="4">
        <v>201402</v>
      </c>
      <c r="B256" t="s">
        <v>270</v>
      </c>
      <c r="C256" s="5">
        <v>6439451</v>
      </c>
      <c r="D256" s="2" t="s">
        <v>301</v>
      </c>
      <c r="E256" s="2" t="s">
        <v>15</v>
      </c>
      <c r="F256" s="3">
        <v>36</v>
      </c>
      <c r="H256" s="1" t="s">
        <v>14</v>
      </c>
      <c r="I256" t="s">
        <v>304</v>
      </c>
      <c r="J256" t="s">
        <v>271</v>
      </c>
      <c r="K256" t="s">
        <v>272</v>
      </c>
      <c r="L256" t="s">
        <v>273</v>
      </c>
    </row>
    <row r="257" spans="1:12" ht="15">
      <c r="A257" s="4">
        <v>201403</v>
      </c>
      <c r="B257" t="s">
        <v>270</v>
      </c>
      <c r="C257" s="5">
        <v>6439451</v>
      </c>
      <c r="D257" s="2" t="s">
        <v>301</v>
      </c>
      <c r="E257" s="2" t="s">
        <v>15</v>
      </c>
      <c r="F257" s="3">
        <v>0.16</v>
      </c>
      <c r="H257" s="1" t="s">
        <v>66</v>
      </c>
      <c r="I257" t="s">
        <v>67</v>
      </c>
      <c r="J257" t="s">
        <v>271</v>
      </c>
      <c r="K257" t="s">
        <v>272</v>
      </c>
      <c r="L257" t="s">
        <v>273</v>
      </c>
    </row>
    <row r="258" spans="1:12" ht="15">
      <c r="A258" s="4">
        <v>201403</v>
      </c>
      <c r="B258" t="s">
        <v>270</v>
      </c>
      <c r="C258" s="5">
        <v>6448214</v>
      </c>
      <c r="D258" s="2" t="s">
        <v>305</v>
      </c>
      <c r="E258" s="2" t="s">
        <v>15</v>
      </c>
      <c r="F258" s="3">
        <v>0.42</v>
      </c>
      <c r="H258" s="1" t="s">
        <v>14</v>
      </c>
      <c r="I258" t="s">
        <v>115</v>
      </c>
      <c r="J258" t="s">
        <v>271</v>
      </c>
      <c r="K258" t="s">
        <v>272</v>
      </c>
      <c r="L258" t="s">
        <v>273</v>
      </c>
    </row>
    <row r="259" spans="1:12" ht="15">
      <c r="A259" s="4">
        <v>201403</v>
      </c>
      <c r="B259" t="s">
        <v>270</v>
      </c>
      <c r="C259" s="5">
        <v>6448214</v>
      </c>
      <c r="D259" s="2" t="s">
        <v>305</v>
      </c>
      <c r="E259" s="2" t="s">
        <v>15</v>
      </c>
      <c r="F259" s="3">
        <v>0.48</v>
      </c>
      <c r="H259" s="1" t="s">
        <v>14</v>
      </c>
      <c r="I259" t="s">
        <v>306</v>
      </c>
      <c r="J259" t="s">
        <v>271</v>
      </c>
      <c r="K259" t="s">
        <v>272</v>
      </c>
      <c r="L259" t="s">
        <v>273</v>
      </c>
    </row>
    <row r="260" spans="1:12" ht="15">
      <c r="A260" s="4">
        <v>201403</v>
      </c>
      <c r="B260" t="s">
        <v>270</v>
      </c>
      <c r="C260" s="5">
        <v>6448214</v>
      </c>
      <c r="D260" s="2" t="s">
        <v>305</v>
      </c>
      <c r="E260" s="2" t="s">
        <v>15</v>
      </c>
      <c r="F260" s="3">
        <v>0.96</v>
      </c>
      <c r="H260" s="1" t="s">
        <v>14</v>
      </c>
      <c r="I260" t="s">
        <v>84</v>
      </c>
      <c r="J260" t="s">
        <v>271</v>
      </c>
      <c r="K260" t="s">
        <v>272</v>
      </c>
      <c r="L260" t="s">
        <v>273</v>
      </c>
    </row>
    <row r="261" spans="1:12" ht="15">
      <c r="A261" s="4">
        <v>201403</v>
      </c>
      <c r="B261" t="s">
        <v>270</v>
      </c>
      <c r="C261" s="5">
        <v>6448214</v>
      </c>
      <c r="D261" s="2" t="s">
        <v>305</v>
      </c>
      <c r="E261" s="2" t="s">
        <v>15</v>
      </c>
      <c r="F261" s="3">
        <v>1.93</v>
      </c>
      <c r="H261" s="1" t="s">
        <v>14</v>
      </c>
      <c r="I261" t="s">
        <v>85</v>
      </c>
      <c r="J261" t="s">
        <v>271</v>
      </c>
      <c r="K261" t="s">
        <v>272</v>
      </c>
      <c r="L261" t="s">
        <v>273</v>
      </c>
    </row>
    <row r="262" spans="1:12" ht="15">
      <c r="A262" s="4">
        <v>201403</v>
      </c>
      <c r="B262" t="s">
        <v>270</v>
      </c>
      <c r="C262" s="5">
        <v>6448214</v>
      </c>
      <c r="D262" s="2" t="s">
        <v>305</v>
      </c>
      <c r="E262" s="2" t="s">
        <v>15</v>
      </c>
      <c r="F262" s="3">
        <v>3</v>
      </c>
      <c r="H262" s="1" t="s">
        <v>14</v>
      </c>
      <c r="I262" t="s">
        <v>307</v>
      </c>
      <c r="J262" t="s">
        <v>271</v>
      </c>
      <c r="K262" t="s">
        <v>272</v>
      </c>
      <c r="L262" t="s">
        <v>273</v>
      </c>
    </row>
    <row r="263" spans="1:12" ht="15">
      <c r="A263" s="4">
        <v>201403</v>
      </c>
      <c r="B263" t="s">
        <v>270</v>
      </c>
      <c r="C263" s="5">
        <v>6448214</v>
      </c>
      <c r="D263" s="2" t="s">
        <v>305</v>
      </c>
      <c r="E263" s="2" t="s">
        <v>15</v>
      </c>
      <c r="F263" s="3">
        <v>3.93</v>
      </c>
      <c r="H263" s="1" t="s">
        <v>14</v>
      </c>
      <c r="I263" t="s">
        <v>308</v>
      </c>
      <c r="J263" t="s">
        <v>271</v>
      </c>
      <c r="K263" t="s">
        <v>272</v>
      </c>
      <c r="L263" t="s">
        <v>273</v>
      </c>
    </row>
    <row r="264" spans="1:12" ht="15">
      <c r="A264" s="4">
        <v>201403</v>
      </c>
      <c r="B264" t="s">
        <v>270</v>
      </c>
      <c r="C264" s="5">
        <v>6448214</v>
      </c>
      <c r="D264" s="2" t="s">
        <v>305</v>
      </c>
      <c r="E264" s="2" t="s">
        <v>15</v>
      </c>
      <c r="F264" s="3">
        <v>9.21</v>
      </c>
      <c r="H264" s="1" t="s">
        <v>14</v>
      </c>
      <c r="I264" t="s">
        <v>309</v>
      </c>
      <c r="J264" t="s">
        <v>271</v>
      </c>
      <c r="K264" t="s">
        <v>272</v>
      </c>
      <c r="L264" t="s">
        <v>273</v>
      </c>
    </row>
    <row r="265" spans="1:12" ht="15">
      <c r="A265" s="4">
        <v>201403</v>
      </c>
      <c r="B265" t="s">
        <v>270</v>
      </c>
      <c r="C265" s="5">
        <v>6448214</v>
      </c>
      <c r="D265" s="2" t="s">
        <v>305</v>
      </c>
      <c r="E265" s="2" t="s">
        <v>15</v>
      </c>
      <c r="F265" s="3">
        <v>10.07</v>
      </c>
      <c r="H265" s="1" t="s">
        <v>14</v>
      </c>
      <c r="I265" t="s">
        <v>24</v>
      </c>
      <c r="J265" t="s">
        <v>271</v>
      </c>
      <c r="K265" t="s">
        <v>272</v>
      </c>
      <c r="L265" t="s">
        <v>273</v>
      </c>
    </row>
    <row r="266" spans="1:12" ht="15">
      <c r="A266" s="4">
        <v>201403</v>
      </c>
      <c r="B266" t="s">
        <v>270</v>
      </c>
      <c r="C266" s="5">
        <v>6448214</v>
      </c>
      <c r="D266" s="2" t="s">
        <v>305</v>
      </c>
      <c r="E266" s="2" t="s">
        <v>15</v>
      </c>
      <c r="F266" s="3">
        <v>16.67</v>
      </c>
      <c r="H266" s="1" t="s">
        <v>14</v>
      </c>
      <c r="I266" t="s">
        <v>310</v>
      </c>
      <c r="J266" t="s">
        <v>271</v>
      </c>
      <c r="K266" t="s">
        <v>272</v>
      </c>
      <c r="L266" t="s">
        <v>273</v>
      </c>
    </row>
    <row r="267" spans="1:12" ht="15">
      <c r="A267" s="4">
        <v>201403</v>
      </c>
      <c r="B267" t="s">
        <v>270</v>
      </c>
      <c r="C267" s="5">
        <v>6448214</v>
      </c>
      <c r="D267" s="2" t="s">
        <v>305</v>
      </c>
      <c r="E267" s="2" t="s">
        <v>15</v>
      </c>
      <c r="F267" s="3">
        <v>29.03</v>
      </c>
      <c r="H267" s="1" t="s">
        <v>14</v>
      </c>
      <c r="I267" t="s">
        <v>311</v>
      </c>
      <c r="J267" t="s">
        <v>271</v>
      </c>
      <c r="K267" t="s">
        <v>272</v>
      </c>
      <c r="L267" t="s">
        <v>273</v>
      </c>
    </row>
    <row r="268" spans="1:12" ht="15">
      <c r="A268" s="4">
        <v>201403</v>
      </c>
      <c r="B268" t="s">
        <v>270</v>
      </c>
      <c r="C268" s="5">
        <v>6448214</v>
      </c>
      <c r="D268" s="2" t="s">
        <v>305</v>
      </c>
      <c r="E268" s="2" t="s">
        <v>15</v>
      </c>
      <c r="F268" s="3">
        <v>37.78</v>
      </c>
      <c r="H268" s="1" t="s">
        <v>14</v>
      </c>
      <c r="I268" t="s">
        <v>312</v>
      </c>
      <c r="J268" t="s">
        <v>271</v>
      </c>
      <c r="K268" t="s">
        <v>272</v>
      </c>
      <c r="L268" t="s">
        <v>273</v>
      </c>
    </row>
    <row r="269" spans="1:12" ht="15">
      <c r="A269" s="4">
        <v>201403</v>
      </c>
      <c r="B269" t="s">
        <v>270</v>
      </c>
      <c r="C269" s="5">
        <v>6448214</v>
      </c>
      <c r="D269" s="2" t="s">
        <v>305</v>
      </c>
      <c r="E269" s="2" t="s">
        <v>15</v>
      </c>
      <c r="F269" s="3">
        <v>64.35</v>
      </c>
      <c r="H269" s="1" t="s">
        <v>14</v>
      </c>
      <c r="I269" t="s">
        <v>313</v>
      </c>
      <c r="J269" t="s">
        <v>271</v>
      </c>
      <c r="K269" t="s">
        <v>272</v>
      </c>
      <c r="L269" t="s">
        <v>273</v>
      </c>
    </row>
    <row r="270" spans="1:12" ht="15">
      <c r="A270" s="4">
        <v>201403</v>
      </c>
      <c r="B270" t="s">
        <v>270</v>
      </c>
      <c r="C270" s="5">
        <v>6448214</v>
      </c>
      <c r="D270" s="2" t="s">
        <v>305</v>
      </c>
      <c r="E270" s="2" t="s">
        <v>15</v>
      </c>
      <c r="F270" s="3">
        <v>5448.96</v>
      </c>
      <c r="H270" s="1" t="s">
        <v>14</v>
      </c>
      <c r="I270" t="s">
        <v>314</v>
      </c>
      <c r="J270" t="s">
        <v>271</v>
      </c>
      <c r="K270" t="s">
        <v>272</v>
      </c>
      <c r="L270" t="s">
        <v>273</v>
      </c>
    </row>
    <row r="271" spans="1:13" ht="15">
      <c r="A271" s="4">
        <v>201405</v>
      </c>
      <c r="B271" t="s">
        <v>270</v>
      </c>
      <c r="C271" s="5">
        <v>6448214</v>
      </c>
      <c r="D271" s="2" t="s">
        <v>305</v>
      </c>
      <c r="E271" s="2" t="s">
        <v>15</v>
      </c>
      <c r="F271" s="3">
        <v>2167.11</v>
      </c>
      <c r="G271" t="s">
        <v>294</v>
      </c>
      <c r="H271" s="1" t="s">
        <v>44</v>
      </c>
      <c r="I271" t="s">
        <v>315</v>
      </c>
      <c r="J271" t="s">
        <v>271</v>
      </c>
      <c r="K271" t="s">
        <v>272</v>
      </c>
      <c r="L271" t="s">
        <v>273</v>
      </c>
      <c r="M271">
        <v>906029</v>
      </c>
    </row>
    <row r="272" spans="1:13" ht="15">
      <c r="A272" s="4">
        <v>201405</v>
      </c>
      <c r="B272" t="s">
        <v>270</v>
      </c>
      <c r="C272" s="5">
        <v>6448214</v>
      </c>
      <c r="D272" s="2" t="s">
        <v>305</v>
      </c>
      <c r="E272" s="2" t="s">
        <v>15</v>
      </c>
      <c r="F272" s="3">
        <v>5861.15</v>
      </c>
      <c r="G272" t="s">
        <v>294</v>
      </c>
      <c r="H272" s="1" t="s">
        <v>44</v>
      </c>
      <c r="I272" t="e">
        <f>-Service-Repairs TO SEAL Oil VALVE</f>
        <v>#NAME?</v>
      </c>
      <c r="J272" t="s">
        <v>271</v>
      </c>
      <c r="K272" t="s">
        <v>272</v>
      </c>
      <c r="L272" t="s">
        <v>273</v>
      </c>
      <c r="M272">
        <v>906029</v>
      </c>
    </row>
    <row r="273" spans="1:13" ht="15">
      <c r="A273" s="4">
        <v>201406</v>
      </c>
      <c r="B273" t="s">
        <v>270</v>
      </c>
      <c r="C273" s="5">
        <v>6448214</v>
      </c>
      <c r="D273" s="2" t="s">
        <v>305</v>
      </c>
      <c r="E273" s="2" t="s">
        <v>15</v>
      </c>
      <c r="F273" s="3">
        <v>21714.95</v>
      </c>
      <c r="G273" t="s">
        <v>294</v>
      </c>
      <c r="H273" s="1" t="s">
        <v>44</v>
      </c>
      <c r="I273" t="s">
        <v>316</v>
      </c>
      <c r="J273" t="s">
        <v>271</v>
      </c>
      <c r="K273" t="s">
        <v>272</v>
      </c>
      <c r="L273" t="s">
        <v>273</v>
      </c>
      <c r="M273">
        <v>906306</v>
      </c>
    </row>
    <row r="274" spans="1:13" ht="15">
      <c r="A274" s="4">
        <v>201405</v>
      </c>
      <c r="B274" t="s">
        <v>270</v>
      </c>
      <c r="C274" s="5">
        <v>6448214</v>
      </c>
      <c r="D274" s="2" t="s">
        <v>305</v>
      </c>
      <c r="E274" s="2" t="s">
        <v>15</v>
      </c>
      <c r="F274" s="3">
        <v>2167.11</v>
      </c>
      <c r="G274" t="s">
        <v>294</v>
      </c>
      <c r="H274" s="1" t="s">
        <v>78</v>
      </c>
      <c r="I274" t="s">
        <v>315</v>
      </c>
      <c r="J274" t="s">
        <v>271</v>
      </c>
      <c r="K274" t="s">
        <v>272</v>
      </c>
      <c r="L274" t="s">
        <v>273</v>
      </c>
      <c r="M274">
        <v>906029</v>
      </c>
    </row>
    <row r="275" spans="1:13" ht="15">
      <c r="A275" s="4">
        <v>201405</v>
      </c>
      <c r="B275" t="s">
        <v>270</v>
      </c>
      <c r="C275" s="5">
        <v>6448214</v>
      </c>
      <c r="D275" s="2" t="s">
        <v>305</v>
      </c>
      <c r="E275" s="2" t="s">
        <v>15</v>
      </c>
      <c r="F275" s="3">
        <v>5861.15</v>
      </c>
      <c r="G275" t="s">
        <v>294</v>
      </c>
      <c r="H275" s="1" t="s">
        <v>78</v>
      </c>
      <c r="I275" t="e">
        <f>-materials-Repairs TO SEAL Oil VALVE</f>
        <v>#NAME?</v>
      </c>
      <c r="J275" t="s">
        <v>271</v>
      </c>
      <c r="K275" t="s">
        <v>272</v>
      </c>
      <c r="L275" t="s">
        <v>273</v>
      </c>
      <c r="M275">
        <v>906029</v>
      </c>
    </row>
    <row r="276" spans="1:12" ht="15">
      <c r="A276" s="4">
        <v>201402</v>
      </c>
      <c r="B276" t="s">
        <v>270</v>
      </c>
      <c r="C276" s="5">
        <v>6448214</v>
      </c>
      <c r="D276" s="2" t="s">
        <v>305</v>
      </c>
      <c r="E276" s="2" t="s">
        <v>15</v>
      </c>
      <c r="F276" s="3">
        <v>0.67</v>
      </c>
      <c r="H276" s="1" t="s">
        <v>66</v>
      </c>
      <c r="I276" t="s">
        <v>67</v>
      </c>
      <c r="J276" t="s">
        <v>271</v>
      </c>
      <c r="K276" t="s">
        <v>272</v>
      </c>
      <c r="L276" t="s">
        <v>273</v>
      </c>
    </row>
    <row r="277" spans="1:12" ht="15">
      <c r="A277" s="4">
        <v>201403</v>
      </c>
      <c r="B277" t="s">
        <v>270</v>
      </c>
      <c r="C277" s="5">
        <v>6448214</v>
      </c>
      <c r="D277" s="2" t="s">
        <v>305</v>
      </c>
      <c r="E277" s="2" t="s">
        <v>15</v>
      </c>
      <c r="F277" s="3">
        <v>5.47</v>
      </c>
      <c r="H277" s="1" t="s">
        <v>66</v>
      </c>
      <c r="I277" t="s">
        <v>67</v>
      </c>
      <c r="J277" t="s">
        <v>271</v>
      </c>
      <c r="K277" t="s">
        <v>272</v>
      </c>
      <c r="L277" t="s">
        <v>273</v>
      </c>
    </row>
    <row r="278" spans="1:12" ht="15">
      <c r="A278" s="4">
        <v>201403</v>
      </c>
      <c r="B278" t="s">
        <v>270</v>
      </c>
      <c r="C278" s="5">
        <v>6448214</v>
      </c>
      <c r="D278" s="2" t="s">
        <v>305</v>
      </c>
      <c r="E278" s="2" t="s">
        <v>15</v>
      </c>
      <c r="F278" s="3">
        <v>0</v>
      </c>
      <c r="H278" s="1" t="s">
        <v>68</v>
      </c>
      <c r="J278" t="s">
        <v>271</v>
      </c>
      <c r="K278" t="s">
        <v>272</v>
      </c>
      <c r="L278" t="s">
        <v>273</v>
      </c>
    </row>
    <row r="279" spans="1:12" ht="15">
      <c r="A279" s="4">
        <v>201403</v>
      </c>
      <c r="B279" t="s">
        <v>270</v>
      </c>
      <c r="C279" s="5">
        <v>6448214</v>
      </c>
      <c r="D279" s="2" t="s">
        <v>305</v>
      </c>
      <c r="E279" s="2" t="s">
        <v>15</v>
      </c>
      <c r="F279" s="3">
        <v>0</v>
      </c>
      <c r="H279" s="1" t="s">
        <v>68</v>
      </c>
      <c r="J279" t="s">
        <v>271</v>
      </c>
      <c r="K279" t="s">
        <v>272</v>
      </c>
      <c r="L279" t="s">
        <v>273</v>
      </c>
    </row>
    <row r="280" spans="1:12" ht="15">
      <c r="A280" s="4">
        <v>201403</v>
      </c>
      <c r="B280" t="s">
        <v>270</v>
      </c>
      <c r="C280" s="5">
        <v>6448214</v>
      </c>
      <c r="D280" s="2" t="s">
        <v>305</v>
      </c>
      <c r="E280" s="2" t="s">
        <v>15</v>
      </c>
      <c r="F280" s="3">
        <v>12</v>
      </c>
      <c r="H280" s="1" t="s">
        <v>68</v>
      </c>
      <c r="J280" t="s">
        <v>271</v>
      </c>
      <c r="K280" t="s">
        <v>272</v>
      </c>
      <c r="L280" t="s">
        <v>273</v>
      </c>
    </row>
    <row r="281" spans="1:12" ht="15">
      <c r="A281" s="4">
        <v>201404</v>
      </c>
      <c r="B281" t="s">
        <v>270</v>
      </c>
      <c r="C281" s="5">
        <v>6452229</v>
      </c>
      <c r="D281" s="2" t="s">
        <v>317</v>
      </c>
      <c r="E281" s="2" t="s">
        <v>15</v>
      </c>
      <c r="F281" s="3">
        <v>6.02</v>
      </c>
      <c r="H281" s="1" t="s">
        <v>66</v>
      </c>
      <c r="I281" t="s">
        <v>67</v>
      </c>
      <c r="J281" t="s">
        <v>271</v>
      </c>
      <c r="K281" t="s">
        <v>272</v>
      </c>
      <c r="L281" t="s">
        <v>273</v>
      </c>
    </row>
    <row r="282" spans="1:12" ht="15">
      <c r="A282" s="4">
        <v>201407</v>
      </c>
      <c r="B282" t="s">
        <v>270</v>
      </c>
      <c r="C282" s="5">
        <v>6462893</v>
      </c>
      <c r="D282" s="2" t="s">
        <v>318</v>
      </c>
      <c r="E282" s="2" t="s">
        <v>15</v>
      </c>
      <c r="F282" s="3">
        <v>5.53</v>
      </c>
      <c r="H282" s="1" t="s">
        <v>14</v>
      </c>
      <c r="I282" t="s">
        <v>32</v>
      </c>
      <c r="J282" t="s">
        <v>271</v>
      </c>
      <c r="K282" t="s">
        <v>272</v>
      </c>
      <c r="L282" t="s">
        <v>273</v>
      </c>
    </row>
    <row r="283" spans="1:12" ht="15">
      <c r="A283" s="4">
        <v>201407</v>
      </c>
      <c r="B283" t="s">
        <v>270</v>
      </c>
      <c r="C283" s="5">
        <v>6462893</v>
      </c>
      <c r="D283" s="2" t="s">
        <v>318</v>
      </c>
      <c r="E283" s="2" t="s">
        <v>15</v>
      </c>
      <c r="F283" s="3">
        <v>10.38</v>
      </c>
      <c r="H283" s="1" t="s">
        <v>14</v>
      </c>
      <c r="I283" t="s">
        <v>319</v>
      </c>
      <c r="J283" t="s">
        <v>271</v>
      </c>
      <c r="K283" t="s">
        <v>272</v>
      </c>
      <c r="L283" t="s">
        <v>273</v>
      </c>
    </row>
    <row r="284" spans="1:12" ht="15">
      <c r="A284" s="4">
        <v>201408</v>
      </c>
      <c r="B284" t="s">
        <v>270</v>
      </c>
      <c r="C284" s="5">
        <v>6462893</v>
      </c>
      <c r="D284" s="2" t="s">
        <v>318</v>
      </c>
      <c r="E284" s="2" t="s">
        <v>15</v>
      </c>
      <c r="F284" s="3">
        <v>0.07</v>
      </c>
      <c r="H284" s="1" t="s">
        <v>14</v>
      </c>
      <c r="I284" t="s">
        <v>320</v>
      </c>
      <c r="J284" t="s">
        <v>271</v>
      </c>
      <c r="K284" t="s">
        <v>272</v>
      </c>
      <c r="L284" t="s">
        <v>273</v>
      </c>
    </row>
    <row r="285" spans="1:12" ht="15">
      <c r="A285" s="4">
        <v>201408</v>
      </c>
      <c r="B285" t="s">
        <v>270</v>
      </c>
      <c r="C285" s="5">
        <v>6462893</v>
      </c>
      <c r="D285" s="2" t="s">
        <v>318</v>
      </c>
      <c r="E285" s="2" t="s">
        <v>15</v>
      </c>
      <c r="F285" s="3">
        <v>0.09</v>
      </c>
      <c r="H285" s="1" t="s">
        <v>14</v>
      </c>
      <c r="I285" t="s">
        <v>321</v>
      </c>
      <c r="J285" t="s">
        <v>271</v>
      </c>
      <c r="K285" t="s">
        <v>272</v>
      </c>
      <c r="L285" t="s">
        <v>273</v>
      </c>
    </row>
    <row r="286" spans="1:12" ht="15">
      <c r="A286" s="4">
        <v>201408</v>
      </c>
      <c r="B286" t="s">
        <v>270</v>
      </c>
      <c r="C286" s="5">
        <v>6462893</v>
      </c>
      <c r="D286" s="2" t="s">
        <v>318</v>
      </c>
      <c r="E286" s="2" t="s">
        <v>15</v>
      </c>
      <c r="F286" s="3">
        <v>1.02</v>
      </c>
      <c r="H286" s="1" t="s">
        <v>14</v>
      </c>
      <c r="I286" t="s">
        <v>322</v>
      </c>
      <c r="J286" t="s">
        <v>271</v>
      </c>
      <c r="K286" t="s">
        <v>272</v>
      </c>
      <c r="L286" t="s">
        <v>273</v>
      </c>
    </row>
    <row r="287" spans="1:12" ht="15">
      <c r="A287" s="4">
        <v>201408</v>
      </c>
      <c r="B287" t="s">
        <v>270</v>
      </c>
      <c r="C287" s="5">
        <v>6462893</v>
      </c>
      <c r="D287" s="2" t="s">
        <v>318</v>
      </c>
      <c r="E287" s="2" t="s">
        <v>15</v>
      </c>
      <c r="F287" s="3">
        <v>2.73</v>
      </c>
      <c r="H287" s="1" t="s">
        <v>14</v>
      </c>
      <c r="I287" t="s">
        <v>84</v>
      </c>
      <c r="J287" t="s">
        <v>271</v>
      </c>
      <c r="K287" t="s">
        <v>272</v>
      </c>
      <c r="L287" t="s">
        <v>273</v>
      </c>
    </row>
    <row r="288" spans="1:12" ht="15">
      <c r="A288" s="4">
        <v>201408</v>
      </c>
      <c r="B288" t="s">
        <v>270</v>
      </c>
      <c r="C288" s="5">
        <v>6462893</v>
      </c>
      <c r="D288" s="2" t="s">
        <v>318</v>
      </c>
      <c r="E288" s="2" t="s">
        <v>15</v>
      </c>
      <c r="F288" s="3">
        <v>3.15</v>
      </c>
      <c r="H288" s="1" t="s">
        <v>14</v>
      </c>
      <c r="I288" t="s">
        <v>323</v>
      </c>
      <c r="J288" t="s">
        <v>271</v>
      </c>
      <c r="K288" t="s">
        <v>272</v>
      </c>
      <c r="L288" t="s">
        <v>273</v>
      </c>
    </row>
    <row r="289" spans="1:12" ht="15">
      <c r="A289" s="4">
        <v>201408</v>
      </c>
      <c r="B289" t="s">
        <v>270</v>
      </c>
      <c r="C289" s="5">
        <v>6462893</v>
      </c>
      <c r="D289" s="2" t="s">
        <v>318</v>
      </c>
      <c r="E289" s="2" t="s">
        <v>15</v>
      </c>
      <c r="F289" s="3">
        <v>5.25</v>
      </c>
      <c r="H289" s="1" t="s">
        <v>14</v>
      </c>
      <c r="I289" t="s">
        <v>324</v>
      </c>
      <c r="J289" t="s">
        <v>271</v>
      </c>
      <c r="K289" t="s">
        <v>272</v>
      </c>
      <c r="L289" t="s">
        <v>273</v>
      </c>
    </row>
    <row r="290" spans="1:12" ht="15">
      <c r="A290" s="4">
        <v>201408</v>
      </c>
      <c r="B290" t="s">
        <v>270</v>
      </c>
      <c r="C290" s="5">
        <v>6462893</v>
      </c>
      <c r="D290" s="2" t="s">
        <v>318</v>
      </c>
      <c r="E290" s="2" t="s">
        <v>15</v>
      </c>
      <c r="F290" s="3">
        <v>7.59</v>
      </c>
      <c r="H290" s="1" t="s">
        <v>14</v>
      </c>
      <c r="I290" t="s">
        <v>325</v>
      </c>
      <c r="J290" t="s">
        <v>271</v>
      </c>
      <c r="K290" t="s">
        <v>272</v>
      </c>
      <c r="L290" t="s">
        <v>273</v>
      </c>
    </row>
    <row r="291" spans="1:12" ht="15">
      <c r="A291" s="4">
        <v>201408</v>
      </c>
      <c r="B291" t="s">
        <v>270</v>
      </c>
      <c r="C291" s="5">
        <v>6462893</v>
      </c>
      <c r="D291" s="2" t="s">
        <v>318</v>
      </c>
      <c r="E291" s="2" t="s">
        <v>15</v>
      </c>
      <c r="F291" s="3">
        <v>8.45</v>
      </c>
      <c r="H291" s="1" t="s">
        <v>14</v>
      </c>
      <c r="I291" t="s">
        <v>104</v>
      </c>
      <c r="J291" t="s">
        <v>271</v>
      </c>
      <c r="K291" t="s">
        <v>272</v>
      </c>
      <c r="L291" t="s">
        <v>273</v>
      </c>
    </row>
    <row r="292" spans="1:12" ht="15">
      <c r="A292" s="4">
        <v>201408</v>
      </c>
      <c r="B292" t="s">
        <v>270</v>
      </c>
      <c r="C292" s="5">
        <v>6462893</v>
      </c>
      <c r="D292" s="2" t="s">
        <v>318</v>
      </c>
      <c r="E292" s="2" t="s">
        <v>15</v>
      </c>
      <c r="F292" s="3">
        <v>20.87</v>
      </c>
      <c r="H292" s="1" t="s">
        <v>14</v>
      </c>
      <c r="I292" t="s">
        <v>326</v>
      </c>
      <c r="J292" t="s">
        <v>271</v>
      </c>
      <c r="K292" t="s">
        <v>272</v>
      </c>
      <c r="L292" t="s">
        <v>273</v>
      </c>
    </row>
    <row r="293" spans="1:12" ht="15">
      <c r="A293" s="4">
        <v>201408</v>
      </c>
      <c r="B293" t="s">
        <v>270</v>
      </c>
      <c r="C293" s="5">
        <v>6462893</v>
      </c>
      <c r="D293" s="2" t="s">
        <v>318</v>
      </c>
      <c r="E293" s="2" t="s">
        <v>15</v>
      </c>
      <c r="F293" s="3">
        <v>35.45</v>
      </c>
      <c r="H293" s="1" t="s">
        <v>14</v>
      </c>
      <c r="I293" t="s">
        <v>107</v>
      </c>
      <c r="J293" t="s">
        <v>271</v>
      </c>
      <c r="K293" t="s">
        <v>272</v>
      </c>
      <c r="L293" t="s">
        <v>273</v>
      </c>
    </row>
    <row r="294" spans="1:12" ht="15">
      <c r="A294" s="4">
        <v>201408</v>
      </c>
      <c r="B294" t="s">
        <v>270</v>
      </c>
      <c r="C294" s="5">
        <v>6462893</v>
      </c>
      <c r="D294" s="2" t="s">
        <v>318</v>
      </c>
      <c r="E294" s="2" t="s">
        <v>15</v>
      </c>
      <c r="F294" s="3">
        <v>42.36</v>
      </c>
      <c r="H294" s="1" t="s">
        <v>14</v>
      </c>
      <c r="I294" t="s">
        <v>327</v>
      </c>
      <c r="J294" t="s">
        <v>271</v>
      </c>
      <c r="K294" t="s">
        <v>272</v>
      </c>
      <c r="L294" t="s">
        <v>273</v>
      </c>
    </row>
    <row r="295" spans="1:12" ht="15">
      <c r="A295" s="4">
        <v>201408</v>
      </c>
      <c r="B295" t="s">
        <v>270</v>
      </c>
      <c r="C295" s="5">
        <v>6462893</v>
      </c>
      <c r="D295" s="2" t="s">
        <v>318</v>
      </c>
      <c r="E295" s="2" t="s">
        <v>15</v>
      </c>
      <c r="F295" s="3">
        <v>95</v>
      </c>
      <c r="H295" s="1" t="s">
        <v>14</v>
      </c>
      <c r="I295" t="s">
        <v>328</v>
      </c>
      <c r="J295" t="s">
        <v>271</v>
      </c>
      <c r="K295" t="s">
        <v>272</v>
      </c>
      <c r="L295" t="s">
        <v>273</v>
      </c>
    </row>
    <row r="296" spans="1:14" ht="15">
      <c r="A296" s="4">
        <v>201406</v>
      </c>
      <c r="B296" t="s">
        <v>270</v>
      </c>
      <c r="C296" s="5">
        <v>6462893</v>
      </c>
      <c r="D296" s="2" t="s">
        <v>318</v>
      </c>
      <c r="E296" s="2" t="s">
        <v>15</v>
      </c>
      <c r="F296" s="3">
        <v>156.66</v>
      </c>
      <c r="G296" t="s">
        <v>57</v>
      </c>
      <c r="H296" s="1" t="s">
        <v>60</v>
      </c>
      <c r="I296">
        <f>-19284/103576800/1</f>
        <v>-0.00018618068911184743</v>
      </c>
      <c r="J296" t="s">
        <v>271</v>
      </c>
      <c r="K296" t="s">
        <v>272</v>
      </c>
      <c r="L296" t="s">
        <v>273</v>
      </c>
      <c r="N296" t="s">
        <v>58</v>
      </c>
    </row>
    <row r="297" spans="1:13" ht="15">
      <c r="A297" s="4">
        <v>201406</v>
      </c>
      <c r="B297" t="s">
        <v>270</v>
      </c>
      <c r="C297" s="5">
        <v>6462893</v>
      </c>
      <c r="D297" s="2" t="s">
        <v>318</v>
      </c>
      <c r="E297" s="2" t="s">
        <v>15</v>
      </c>
      <c r="F297" s="3">
        <v>2611</v>
      </c>
      <c r="G297" t="s">
        <v>329</v>
      </c>
      <c r="H297" s="1" t="s">
        <v>60</v>
      </c>
      <c r="I297" t="e">
        <f>-FLOWMETER-#REF!-2*A,Yokogawa Magnetic FLOWMETER Simulator</f>
        <v>#NAME?</v>
      </c>
      <c r="J297" t="s">
        <v>271</v>
      </c>
      <c r="K297" t="s">
        <v>272</v>
      </c>
      <c r="L297" t="s">
        <v>273</v>
      </c>
      <c r="M297">
        <v>905939</v>
      </c>
    </row>
    <row r="298" spans="1:12" ht="15">
      <c r="A298" s="4">
        <v>201404</v>
      </c>
      <c r="B298" t="s">
        <v>270</v>
      </c>
      <c r="C298" s="5">
        <v>6462893</v>
      </c>
      <c r="D298" s="2" t="s">
        <v>318</v>
      </c>
      <c r="E298" s="2" t="s">
        <v>15</v>
      </c>
      <c r="F298" s="3">
        <v>0.76</v>
      </c>
      <c r="H298" s="1" t="s">
        <v>66</v>
      </c>
      <c r="I298" t="s">
        <v>67</v>
      </c>
      <c r="J298" t="s">
        <v>271</v>
      </c>
      <c r="K298" t="s">
        <v>272</v>
      </c>
      <c r="L298" t="s">
        <v>273</v>
      </c>
    </row>
    <row r="299" spans="1:14" ht="15">
      <c r="A299" s="4">
        <v>201406</v>
      </c>
      <c r="B299" t="s">
        <v>270</v>
      </c>
      <c r="C299" s="5">
        <v>6462893</v>
      </c>
      <c r="D299" s="2" t="s">
        <v>318</v>
      </c>
      <c r="E299" s="2" t="s">
        <v>15</v>
      </c>
      <c r="F299" s="3">
        <v>3.16</v>
      </c>
      <c r="G299" t="s">
        <v>57</v>
      </c>
      <c r="H299" s="1" t="s">
        <v>69</v>
      </c>
      <c r="I299">
        <f>-19284/103576800/1</f>
        <v>-0.00018618068911184743</v>
      </c>
      <c r="J299" t="s">
        <v>271</v>
      </c>
      <c r="K299" t="s">
        <v>272</v>
      </c>
      <c r="L299" t="s">
        <v>273</v>
      </c>
      <c r="N299" t="s">
        <v>58</v>
      </c>
    </row>
    <row r="300" spans="1:12" ht="15">
      <c r="A300" s="4">
        <v>201406</v>
      </c>
      <c r="B300" t="s">
        <v>270</v>
      </c>
      <c r="C300" s="5">
        <v>6462893</v>
      </c>
      <c r="D300" s="2" t="s">
        <v>318</v>
      </c>
      <c r="E300" s="2" t="s">
        <v>15</v>
      </c>
      <c r="F300" s="3">
        <v>52.68</v>
      </c>
      <c r="G300" t="s">
        <v>329</v>
      </c>
      <c r="H300" s="1" t="s">
        <v>69</v>
      </c>
      <c r="I300" t="e">
        <f>-freight</f>
        <v>#NAME?</v>
      </c>
      <c r="J300" t="s">
        <v>271</v>
      </c>
      <c r="K300" t="s">
        <v>272</v>
      </c>
      <c r="L300" t="s">
        <v>273</v>
      </c>
    </row>
    <row r="301" spans="1:12" ht="15">
      <c r="A301" s="4">
        <v>201404</v>
      </c>
      <c r="B301" t="s">
        <v>270</v>
      </c>
      <c r="C301" s="5">
        <v>6466288</v>
      </c>
      <c r="D301" s="2" t="s">
        <v>332</v>
      </c>
      <c r="E301" s="2" t="s">
        <v>15</v>
      </c>
      <c r="F301" s="3">
        <v>-1377</v>
      </c>
      <c r="H301" s="1" t="s">
        <v>330</v>
      </c>
      <c r="I301" t="s">
        <v>331</v>
      </c>
      <c r="J301" t="s">
        <v>271</v>
      </c>
      <c r="K301" t="s">
        <v>272</v>
      </c>
      <c r="L301" t="s">
        <v>273</v>
      </c>
    </row>
    <row r="302" spans="1:12" ht="15">
      <c r="A302" s="4">
        <v>201406</v>
      </c>
      <c r="B302" t="s">
        <v>270</v>
      </c>
      <c r="C302" s="5">
        <v>6473465</v>
      </c>
      <c r="D302" s="2" t="s">
        <v>334</v>
      </c>
      <c r="E302" s="2" t="s">
        <v>15</v>
      </c>
      <c r="F302" s="3">
        <v>-29250</v>
      </c>
      <c r="H302" s="1" t="s">
        <v>330</v>
      </c>
      <c r="I302" t="s">
        <v>333</v>
      </c>
      <c r="J302" t="s">
        <v>271</v>
      </c>
      <c r="K302" t="s">
        <v>272</v>
      </c>
      <c r="L302" t="s">
        <v>273</v>
      </c>
    </row>
    <row r="303" spans="1:12" ht="15">
      <c r="A303" s="4">
        <v>201404</v>
      </c>
      <c r="B303" t="s">
        <v>270</v>
      </c>
      <c r="C303" s="5">
        <v>6473465</v>
      </c>
      <c r="D303" s="2" t="s">
        <v>334</v>
      </c>
      <c r="E303" s="2" t="s">
        <v>15</v>
      </c>
      <c r="F303" s="3">
        <v>11700</v>
      </c>
      <c r="H303" s="1" t="s">
        <v>14</v>
      </c>
      <c r="I303" t="s">
        <v>333</v>
      </c>
      <c r="J303" t="s">
        <v>271</v>
      </c>
      <c r="K303" t="s">
        <v>272</v>
      </c>
      <c r="L303" t="s">
        <v>273</v>
      </c>
    </row>
    <row r="304" spans="1:12" ht="15">
      <c r="A304" s="4">
        <v>201405</v>
      </c>
      <c r="B304" t="s">
        <v>270</v>
      </c>
      <c r="C304" s="5">
        <v>6473465</v>
      </c>
      <c r="D304" s="2" t="s">
        <v>334</v>
      </c>
      <c r="E304" s="2" t="s">
        <v>15</v>
      </c>
      <c r="F304" s="3">
        <v>14.8</v>
      </c>
      <c r="H304" s="1" t="s">
        <v>14</v>
      </c>
      <c r="I304" t="s">
        <v>335</v>
      </c>
      <c r="J304" t="s">
        <v>271</v>
      </c>
      <c r="K304" t="s">
        <v>272</v>
      </c>
      <c r="L304" t="s">
        <v>273</v>
      </c>
    </row>
    <row r="305" spans="1:12" ht="15">
      <c r="A305" s="4">
        <v>201403</v>
      </c>
      <c r="B305" t="s">
        <v>270</v>
      </c>
      <c r="C305" s="5">
        <v>6473465</v>
      </c>
      <c r="D305" s="2" t="s">
        <v>334</v>
      </c>
      <c r="E305" s="2" t="s">
        <v>15</v>
      </c>
      <c r="F305" s="3">
        <v>0.21</v>
      </c>
      <c r="H305" s="1" t="s">
        <v>66</v>
      </c>
      <c r="I305" t="s">
        <v>67</v>
      </c>
      <c r="J305" t="s">
        <v>271</v>
      </c>
      <c r="K305" t="s">
        <v>272</v>
      </c>
      <c r="L305" t="s">
        <v>273</v>
      </c>
    </row>
    <row r="306" spans="1:12" ht="15">
      <c r="A306" s="4">
        <v>201405</v>
      </c>
      <c r="B306" t="s">
        <v>270</v>
      </c>
      <c r="C306" s="5">
        <v>6473465</v>
      </c>
      <c r="D306" s="2" t="s">
        <v>334</v>
      </c>
      <c r="E306" s="2" t="s">
        <v>15</v>
      </c>
      <c r="F306" s="3">
        <v>0.2</v>
      </c>
      <c r="H306" s="1" t="s">
        <v>66</v>
      </c>
      <c r="I306" t="s">
        <v>67</v>
      </c>
      <c r="J306" t="s">
        <v>271</v>
      </c>
      <c r="K306" t="s">
        <v>272</v>
      </c>
      <c r="L306" t="s">
        <v>273</v>
      </c>
    </row>
    <row r="307" spans="1:12" ht="15">
      <c r="A307" s="4">
        <v>201404</v>
      </c>
      <c r="B307" t="s">
        <v>270</v>
      </c>
      <c r="C307" s="5">
        <v>6473892</v>
      </c>
      <c r="D307" s="2" t="s">
        <v>337</v>
      </c>
      <c r="E307" s="2" t="s">
        <v>15</v>
      </c>
      <c r="F307" s="3">
        <v>2.5</v>
      </c>
      <c r="H307" s="1" t="s">
        <v>14</v>
      </c>
      <c r="I307" t="s">
        <v>336</v>
      </c>
      <c r="J307" t="s">
        <v>271</v>
      </c>
      <c r="K307" t="s">
        <v>272</v>
      </c>
      <c r="L307" t="s">
        <v>273</v>
      </c>
    </row>
    <row r="308" spans="1:12" ht="15">
      <c r="A308" s="4">
        <v>201404</v>
      </c>
      <c r="B308" t="s">
        <v>270</v>
      </c>
      <c r="C308" s="5">
        <v>6473892</v>
      </c>
      <c r="D308" s="2" t="s">
        <v>337</v>
      </c>
      <c r="E308" s="2" t="s">
        <v>15</v>
      </c>
      <c r="F308" s="3">
        <v>5.78</v>
      </c>
      <c r="H308" s="1" t="s">
        <v>14</v>
      </c>
      <c r="I308" t="s">
        <v>338</v>
      </c>
      <c r="J308" t="s">
        <v>271</v>
      </c>
      <c r="K308" t="s">
        <v>272</v>
      </c>
      <c r="L308" t="s">
        <v>273</v>
      </c>
    </row>
    <row r="309" spans="1:12" ht="15">
      <c r="A309" s="4">
        <v>201404</v>
      </c>
      <c r="B309" t="s">
        <v>270</v>
      </c>
      <c r="C309" s="5">
        <v>6473892</v>
      </c>
      <c r="D309" s="2" t="s">
        <v>337</v>
      </c>
      <c r="E309" s="2" t="s">
        <v>15</v>
      </c>
      <c r="F309" s="3">
        <v>9.05</v>
      </c>
      <c r="H309" s="1" t="s">
        <v>14</v>
      </c>
      <c r="I309" t="s">
        <v>339</v>
      </c>
      <c r="J309" t="s">
        <v>271</v>
      </c>
      <c r="K309" t="s">
        <v>272</v>
      </c>
      <c r="L309" t="s">
        <v>273</v>
      </c>
    </row>
    <row r="310" spans="1:12" ht="15">
      <c r="A310" s="4">
        <v>201404</v>
      </c>
      <c r="B310" t="s">
        <v>270</v>
      </c>
      <c r="C310" s="5">
        <v>6473892</v>
      </c>
      <c r="D310" s="2" t="s">
        <v>337</v>
      </c>
      <c r="E310" s="2" t="s">
        <v>15</v>
      </c>
      <c r="F310" s="3">
        <v>9.79</v>
      </c>
      <c r="H310" s="1" t="s">
        <v>14</v>
      </c>
      <c r="I310" t="s">
        <v>340</v>
      </c>
      <c r="J310" t="s">
        <v>271</v>
      </c>
      <c r="K310" t="s">
        <v>272</v>
      </c>
      <c r="L310" t="s">
        <v>273</v>
      </c>
    </row>
    <row r="311" spans="1:12" ht="15">
      <c r="A311" s="4">
        <v>201404</v>
      </c>
      <c r="B311" t="s">
        <v>270</v>
      </c>
      <c r="C311" s="5">
        <v>6473892</v>
      </c>
      <c r="D311" s="2" t="s">
        <v>337</v>
      </c>
      <c r="E311" s="2" t="s">
        <v>15</v>
      </c>
      <c r="F311" s="3">
        <v>15.5</v>
      </c>
      <c r="H311" s="1" t="s">
        <v>14</v>
      </c>
      <c r="I311" t="s">
        <v>36</v>
      </c>
      <c r="J311" t="s">
        <v>271</v>
      </c>
      <c r="K311" t="s">
        <v>272</v>
      </c>
      <c r="L311" t="s">
        <v>273</v>
      </c>
    </row>
    <row r="312" spans="1:12" ht="15">
      <c r="A312" s="4">
        <v>201404</v>
      </c>
      <c r="B312" t="s">
        <v>270</v>
      </c>
      <c r="C312" s="5">
        <v>6473892</v>
      </c>
      <c r="D312" s="2" t="s">
        <v>337</v>
      </c>
      <c r="E312" s="2" t="s">
        <v>15</v>
      </c>
      <c r="F312" s="3">
        <v>17.93</v>
      </c>
      <c r="H312" s="1" t="s">
        <v>14</v>
      </c>
      <c r="I312" t="s">
        <v>341</v>
      </c>
      <c r="J312" t="s">
        <v>271</v>
      </c>
      <c r="K312" t="s">
        <v>272</v>
      </c>
      <c r="L312" t="s">
        <v>273</v>
      </c>
    </row>
    <row r="313" spans="1:12" ht="15">
      <c r="A313" s="4">
        <v>201404</v>
      </c>
      <c r="B313" t="s">
        <v>270</v>
      </c>
      <c r="C313" s="5">
        <v>6473892</v>
      </c>
      <c r="D313" s="2" t="s">
        <v>337</v>
      </c>
      <c r="E313" s="2" t="s">
        <v>15</v>
      </c>
      <c r="F313" s="3">
        <v>24.7</v>
      </c>
      <c r="H313" s="1" t="s">
        <v>14</v>
      </c>
      <c r="I313" t="s">
        <v>342</v>
      </c>
      <c r="J313" t="s">
        <v>271</v>
      </c>
      <c r="K313" t="s">
        <v>272</v>
      </c>
      <c r="L313" t="s">
        <v>273</v>
      </c>
    </row>
    <row r="314" spans="1:12" ht="15">
      <c r="A314" s="4">
        <v>201404</v>
      </c>
      <c r="B314" t="s">
        <v>270</v>
      </c>
      <c r="C314" s="5">
        <v>6473892</v>
      </c>
      <c r="D314" s="2" t="s">
        <v>337</v>
      </c>
      <c r="E314" s="2" t="s">
        <v>15</v>
      </c>
      <c r="F314" s="3">
        <v>56.35</v>
      </c>
      <c r="H314" s="1" t="s">
        <v>14</v>
      </c>
      <c r="I314" t="s">
        <v>343</v>
      </c>
      <c r="J314" t="s">
        <v>271</v>
      </c>
      <c r="K314" t="s">
        <v>272</v>
      </c>
      <c r="L314" t="s">
        <v>273</v>
      </c>
    </row>
    <row r="315" spans="1:12" ht="15">
      <c r="A315" s="4">
        <v>201404</v>
      </c>
      <c r="B315" t="s">
        <v>270</v>
      </c>
      <c r="C315" s="5">
        <v>6473892</v>
      </c>
      <c r="D315" s="2" t="s">
        <v>337</v>
      </c>
      <c r="E315" s="2" t="s">
        <v>15</v>
      </c>
      <c r="F315" s="3">
        <v>56.98</v>
      </c>
      <c r="H315" s="1" t="s">
        <v>14</v>
      </c>
      <c r="I315" t="s">
        <v>71</v>
      </c>
      <c r="J315" t="s">
        <v>271</v>
      </c>
      <c r="K315" t="s">
        <v>272</v>
      </c>
      <c r="L315" t="s">
        <v>273</v>
      </c>
    </row>
    <row r="316" spans="1:12" ht="15">
      <c r="A316" s="4">
        <v>201404</v>
      </c>
      <c r="B316" t="s">
        <v>270</v>
      </c>
      <c r="C316" s="5">
        <v>6473892</v>
      </c>
      <c r="D316" s="2" t="s">
        <v>337</v>
      </c>
      <c r="E316" s="2" t="s">
        <v>15</v>
      </c>
      <c r="F316" s="3">
        <v>567.38</v>
      </c>
      <c r="H316" s="1" t="s">
        <v>14</v>
      </c>
      <c r="I316" t="s">
        <v>344</v>
      </c>
      <c r="J316" t="s">
        <v>271</v>
      </c>
      <c r="K316" t="s">
        <v>272</v>
      </c>
      <c r="L316" t="s">
        <v>273</v>
      </c>
    </row>
    <row r="317" spans="1:12" ht="15">
      <c r="A317" s="4">
        <v>201404</v>
      </c>
      <c r="B317" t="s">
        <v>270</v>
      </c>
      <c r="C317" s="5">
        <v>6473892</v>
      </c>
      <c r="D317" s="2" t="s">
        <v>337</v>
      </c>
      <c r="E317" s="2" t="s">
        <v>15</v>
      </c>
      <c r="F317" s="3">
        <v>1350</v>
      </c>
      <c r="H317" s="1" t="s">
        <v>14</v>
      </c>
      <c r="I317" t="s">
        <v>345</v>
      </c>
      <c r="J317" t="s">
        <v>271</v>
      </c>
      <c r="K317" t="s">
        <v>272</v>
      </c>
      <c r="L317" t="s">
        <v>273</v>
      </c>
    </row>
    <row r="318" spans="1:13" ht="15">
      <c r="A318" s="4">
        <v>201405</v>
      </c>
      <c r="B318" t="s">
        <v>270</v>
      </c>
      <c r="C318" s="5">
        <v>6473892</v>
      </c>
      <c r="D318" s="2" t="s">
        <v>337</v>
      </c>
      <c r="E318" s="2" t="s">
        <v>15</v>
      </c>
      <c r="F318" s="3">
        <v>1094.25</v>
      </c>
      <c r="G318" t="s">
        <v>73</v>
      </c>
      <c r="H318" s="1" t="s">
        <v>46</v>
      </c>
      <c r="I318" t="s">
        <v>74</v>
      </c>
      <c r="J318" t="s">
        <v>271</v>
      </c>
      <c r="K318" t="s">
        <v>272</v>
      </c>
      <c r="L318" t="s">
        <v>273</v>
      </c>
      <c r="M318">
        <v>905953</v>
      </c>
    </row>
    <row r="319" spans="1:12" ht="15">
      <c r="A319" s="4">
        <v>201403</v>
      </c>
      <c r="B319" t="s">
        <v>270</v>
      </c>
      <c r="C319" s="5">
        <v>6473892</v>
      </c>
      <c r="D319" s="2" t="s">
        <v>337</v>
      </c>
      <c r="E319" s="2" t="s">
        <v>15</v>
      </c>
      <c r="F319" s="3">
        <v>19689</v>
      </c>
      <c r="H319" s="1" t="s">
        <v>60</v>
      </c>
      <c r="I319" t="s">
        <v>346</v>
      </c>
      <c r="J319" t="s">
        <v>271</v>
      </c>
      <c r="K319" t="s">
        <v>272</v>
      </c>
      <c r="L319" t="s">
        <v>273</v>
      </c>
    </row>
    <row r="320" spans="1:12" ht="15">
      <c r="A320" s="4">
        <v>201404</v>
      </c>
      <c r="B320" t="s">
        <v>270</v>
      </c>
      <c r="C320" s="5">
        <v>6473892</v>
      </c>
      <c r="D320" s="2" t="s">
        <v>337</v>
      </c>
      <c r="E320" s="2" t="s">
        <v>15</v>
      </c>
      <c r="F320" s="3">
        <v>-19689</v>
      </c>
      <c r="H320" s="1" t="s">
        <v>60</v>
      </c>
      <c r="I320" t="s">
        <v>346</v>
      </c>
      <c r="J320" t="s">
        <v>271</v>
      </c>
      <c r="K320" t="s">
        <v>272</v>
      </c>
      <c r="L320" t="s">
        <v>273</v>
      </c>
    </row>
    <row r="321" spans="1:14" ht="15">
      <c r="A321" s="4">
        <v>201404</v>
      </c>
      <c r="B321" t="s">
        <v>270</v>
      </c>
      <c r="C321" s="5">
        <v>6473892</v>
      </c>
      <c r="D321" s="2" t="s">
        <v>337</v>
      </c>
      <c r="E321" s="2" t="s">
        <v>15</v>
      </c>
      <c r="F321" s="3">
        <v>1181.34</v>
      </c>
      <c r="G321" t="s">
        <v>57</v>
      </c>
      <c r="H321" s="1" t="s">
        <v>60</v>
      </c>
      <c r="I321">
        <f>-18016/817998/1</f>
        <v>-0.022024503727392977</v>
      </c>
      <c r="J321" t="s">
        <v>271</v>
      </c>
      <c r="K321" t="s">
        <v>272</v>
      </c>
      <c r="L321" t="s">
        <v>273</v>
      </c>
      <c r="N321" t="s">
        <v>58</v>
      </c>
    </row>
    <row r="322" spans="1:13" ht="15">
      <c r="A322" s="4">
        <v>201404</v>
      </c>
      <c r="B322" t="s">
        <v>270</v>
      </c>
      <c r="C322" s="5">
        <v>6473892</v>
      </c>
      <c r="D322" s="2" t="s">
        <v>337</v>
      </c>
      <c r="E322" s="2" t="s">
        <v>15</v>
      </c>
      <c r="F322" s="3">
        <v>19689</v>
      </c>
      <c r="G322" t="s">
        <v>294</v>
      </c>
      <c r="H322" s="1" t="s">
        <v>60</v>
      </c>
      <c r="I322" t="s">
        <v>347</v>
      </c>
      <c r="J322" t="s">
        <v>271</v>
      </c>
      <c r="K322" t="s">
        <v>272</v>
      </c>
      <c r="L322" t="s">
        <v>273</v>
      </c>
      <c r="M322">
        <v>899934</v>
      </c>
    </row>
    <row r="323" spans="1:12" ht="15">
      <c r="A323" s="4">
        <v>201402</v>
      </c>
      <c r="B323" t="s">
        <v>270</v>
      </c>
      <c r="C323" s="5">
        <v>6473892</v>
      </c>
      <c r="D323" s="2" t="s">
        <v>337</v>
      </c>
      <c r="E323" s="2" t="s">
        <v>15</v>
      </c>
      <c r="F323" s="3">
        <v>1.55</v>
      </c>
      <c r="H323" s="1" t="s">
        <v>66</v>
      </c>
      <c r="I323" t="s">
        <v>67</v>
      </c>
      <c r="J323" t="s">
        <v>271</v>
      </c>
      <c r="K323" t="s">
        <v>272</v>
      </c>
      <c r="L323" t="s">
        <v>273</v>
      </c>
    </row>
    <row r="324" spans="1:12" ht="15">
      <c r="A324" s="4">
        <v>201404</v>
      </c>
      <c r="B324" t="s">
        <v>270</v>
      </c>
      <c r="C324" s="5">
        <v>6473892</v>
      </c>
      <c r="D324" s="2" t="s">
        <v>337</v>
      </c>
      <c r="E324" s="2" t="s">
        <v>15</v>
      </c>
      <c r="F324" s="3">
        <v>15.47</v>
      </c>
      <c r="H324" s="1" t="s">
        <v>66</v>
      </c>
      <c r="I324" t="s">
        <v>67</v>
      </c>
      <c r="J324" t="s">
        <v>271</v>
      </c>
      <c r="K324" t="s">
        <v>272</v>
      </c>
      <c r="L324" t="s">
        <v>273</v>
      </c>
    </row>
    <row r="325" spans="1:12" ht="15">
      <c r="A325" s="4">
        <v>201404</v>
      </c>
      <c r="B325" t="s">
        <v>270</v>
      </c>
      <c r="C325" s="5">
        <v>6473892</v>
      </c>
      <c r="D325" s="2" t="s">
        <v>337</v>
      </c>
      <c r="E325" s="2" t="s">
        <v>15</v>
      </c>
      <c r="F325" s="3">
        <v>0</v>
      </c>
      <c r="H325" s="1" t="s">
        <v>68</v>
      </c>
      <c r="J325" t="s">
        <v>271</v>
      </c>
      <c r="K325" t="s">
        <v>272</v>
      </c>
      <c r="L325" t="s">
        <v>273</v>
      </c>
    </row>
    <row r="326" spans="1:12" ht="15">
      <c r="A326" s="4">
        <v>201404</v>
      </c>
      <c r="B326" t="s">
        <v>270</v>
      </c>
      <c r="C326" s="5">
        <v>6473892</v>
      </c>
      <c r="D326" s="2" t="s">
        <v>337</v>
      </c>
      <c r="E326" s="2" t="s">
        <v>15</v>
      </c>
      <c r="F326" s="3">
        <v>18</v>
      </c>
      <c r="H326" s="1" t="s">
        <v>68</v>
      </c>
      <c r="J326" t="s">
        <v>271</v>
      </c>
      <c r="K326" t="s">
        <v>272</v>
      </c>
      <c r="L326" t="s">
        <v>273</v>
      </c>
    </row>
    <row r="327" spans="1:14" ht="15">
      <c r="A327" s="4">
        <v>201404</v>
      </c>
      <c r="B327" t="s">
        <v>270</v>
      </c>
      <c r="C327" s="5">
        <v>6473892</v>
      </c>
      <c r="D327" s="2" t="s">
        <v>337</v>
      </c>
      <c r="E327" s="2" t="s">
        <v>15</v>
      </c>
      <c r="F327" s="3">
        <v>-21.29</v>
      </c>
      <c r="G327" t="s">
        <v>57</v>
      </c>
      <c r="H327" s="1" t="s">
        <v>69</v>
      </c>
      <c r="I327" t="s">
        <v>348</v>
      </c>
      <c r="J327" t="s">
        <v>271</v>
      </c>
      <c r="K327" t="s">
        <v>272</v>
      </c>
      <c r="L327" t="s">
        <v>273</v>
      </c>
      <c r="N327" t="s">
        <v>58</v>
      </c>
    </row>
    <row r="328" spans="1:12" ht="15">
      <c r="A328" s="4">
        <v>201404</v>
      </c>
      <c r="B328" t="s">
        <v>270</v>
      </c>
      <c r="C328" s="5">
        <v>6473892</v>
      </c>
      <c r="D328" s="2" t="s">
        <v>337</v>
      </c>
      <c r="E328" s="2" t="s">
        <v>15</v>
      </c>
      <c r="F328" s="3">
        <v>0</v>
      </c>
      <c r="G328" t="s">
        <v>294</v>
      </c>
      <c r="H328" s="1" t="s">
        <v>69</v>
      </c>
      <c r="I328" t="s">
        <v>349</v>
      </c>
      <c r="J328" t="s">
        <v>271</v>
      </c>
      <c r="K328" t="s">
        <v>272</v>
      </c>
      <c r="L328" t="s">
        <v>273</v>
      </c>
    </row>
    <row r="329" spans="1:14" ht="15">
      <c r="A329" s="4">
        <v>201404</v>
      </c>
      <c r="B329" t="s">
        <v>270</v>
      </c>
      <c r="C329" s="5">
        <v>6473892</v>
      </c>
      <c r="D329" s="2" t="s">
        <v>337</v>
      </c>
      <c r="E329" s="2" t="s">
        <v>15</v>
      </c>
      <c r="F329" s="3">
        <v>6</v>
      </c>
      <c r="G329" t="s">
        <v>57</v>
      </c>
      <c r="H329" s="1" t="s">
        <v>69</v>
      </c>
      <c r="I329">
        <f>-18016/817998/1</f>
        <v>-0.022024503727392977</v>
      </c>
      <c r="J329" t="s">
        <v>271</v>
      </c>
      <c r="K329" t="s">
        <v>272</v>
      </c>
      <c r="L329" t="s">
        <v>273</v>
      </c>
      <c r="N329" t="s">
        <v>58</v>
      </c>
    </row>
    <row r="330" spans="1:14" ht="15">
      <c r="A330" s="4">
        <v>201404</v>
      </c>
      <c r="B330" t="s">
        <v>270</v>
      </c>
      <c r="C330" s="5">
        <v>6473892</v>
      </c>
      <c r="D330" s="2" t="s">
        <v>337</v>
      </c>
      <c r="E330" s="2" t="s">
        <v>15</v>
      </c>
      <c r="F330" s="3">
        <v>21.29</v>
      </c>
      <c r="G330" t="s">
        <v>57</v>
      </c>
      <c r="H330" s="1" t="s">
        <v>69</v>
      </c>
      <c r="I330" t="s">
        <v>350</v>
      </c>
      <c r="J330" t="s">
        <v>271</v>
      </c>
      <c r="K330" t="s">
        <v>272</v>
      </c>
      <c r="L330" t="s">
        <v>273</v>
      </c>
      <c r="N330" t="s">
        <v>58</v>
      </c>
    </row>
    <row r="331" spans="1:14" ht="15">
      <c r="A331" s="4">
        <v>201404</v>
      </c>
      <c r="B331" t="s">
        <v>270</v>
      </c>
      <c r="C331" s="5">
        <v>6473892</v>
      </c>
      <c r="D331" s="2" t="s">
        <v>337</v>
      </c>
      <c r="E331" s="2" t="s">
        <v>15</v>
      </c>
      <c r="F331" s="3">
        <v>21.29</v>
      </c>
      <c r="G331" t="s">
        <v>57</v>
      </c>
      <c r="H331" s="1" t="s">
        <v>69</v>
      </c>
      <c r="I331" t="s">
        <v>351</v>
      </c>
      <c r="J331" t="s">
        <v>271</v>
      </c>
      <c r="K331" t="s">
        <v>272</v>
      </c>
      <c r="L331" t="s">
        <v>273</v>
      </c>
      <c r="N331" t="s">
        <v>58</v>
      </c>
    </row>
    <row r="332" spans="1:12" ht="15">
      <c r="A332" s="4">
        <v>201404</v>
      </c>
      <c r="B332" t="s">
        <v>270</v>
      </c>
      <c r="C332" s="5">
        <v>6473892</v>
      </c>
      <c r="D332" s="2" t="s">
        <v>337</v>
      </c>
      <c r="E332" s="2" t="s">
        <v>15</v>
      </c>
      <c r="F332" s="3">
        <v>100</v>
      </c>
      <c r="G332" t="s">
        <v>294</v>
      </c>
      <c r="H332" s="1" t="s">
        <v>69</v>
      </c>
      <c r="I332" t="e">
        <f>-freight</f>
        <v>#NAME?</v>
      </c>
      <c r="J332" t="s">
        <v>271</v>
      </c>
      <c r="K332" t="s">
        <v>272</v>
      </c>
      <c r="L332" t="s">
        <v>273</v>
      </c>
    </row>
    <row r="333" spans="1:12" ht="15">
      <c r="A333" s="4">
        <v>201404</v>
      </c>
      <c r="B333" t="s">
        <v>270</v>
      </c>
      <c r="C333" s="5">
        <v>6473892</v>
      </c>
      <c r="D333" s="2" t="s">
        <v>337</v>
      </c>
      <c r="E333" s="2" t="s">
        <v>15</v>
      </c>
      <c r="F333" s="3">
        <v>354.8</v>
      </c>
      <c r="G333" t="s">
        <v>294</v>
      </c>
      <c r="H333" s="1" t="s">
        <v>69</v>
      </c>
      <c r="I333" t="e">
        <f>-freight</f>
        <v>#NAME?</v>
      </c>
      <c r="J333" t="s">
        <v>271</v>
      </c>
      <c r="K333" t="s">
        <v>272</v>
      </c>
      <c r="L333" t="s">
        <v>273</v>
      </c>
    </row>
    <row r="334" spans="1:12" ht="15">
      <c r="A334" s="4">
        <v>201408</v>
      </c>
      <c r="B334" t="s">
        <v>270</v>
      </c>
      <c r="C334" s="5">
        <v>6475504</v>
      </c>
      <c r="D334" s="2" t="s">
        <v>353</v>
      </c>
      <c r="E334" s="2" t="s">
        <v>15</v>
      </c>
      <c r="F334" s="3">
        <v>-690</v>
      </c>
      <c r="H334" s="1" t="s">
        <v>330</v>
      </c>
      <c r="I334" t="s">
        <v>352</v>
      </c>
      <c r="J334" t="s">
        <v>271</v>
      </c>
      <c r="K334" t="s">
        <v>272</v>
      </c>
      <c r="L334" t="s">
        <v>273</v>
      </c>
    </row>
    <row r="335" spans="1:12" ht="15">
      <c r="A335" s="4">
        <v>201405</v>
      </c>
      <c r="B335" t="s">
        <v>270</v>
      </c>
      <c r="C335" s="5">
        <v>6475504</v>
      </c>
      <c r="D335" s="2" t="s">
        <v>353</v>
      </c>
      <c r="E335" s="2" t="s">
        <v>15</v>
      </c>
      <c r="F335" s="3">
        <v>114</v>
      </c>
      <c r="H335" s="1" t="s">
        <v>14</v>
      </c>
      <c r="I335" t="s">
        <v>354</v>
      </c>
      <c r="J335" t="s">
        <v>271</v>
      </c>
      <c r="K335" t="s">
        <v>272</v>
      </c>
      <c r="L335" t="s">
        <v>273</v>
      </c>
    </row>
    <row r="336" spans="1:13" ht="15">
      <c r="A336" s="4">
        <v>201405</v>
      </c>
      <c r="B336" t="s">
        <v>270</v>
      </c>
      <c r="C336" s="5">
        <v>6475504</v>
      </c>
      <c r="D336" s="2" t="s">
        <v>353</v>
      </c>
      <c r="E336" s="2" t="s">
        <v>15</v>
      </c>
      <c r="F336" s="3">
        <v>1064.93</v>
      </c>
      <c r="G336" t="s">
        <v>119</v>
      </c>
      <c r="H336" s="1" t="s">
        <v>44</v>
      </c>
      <c r="I336" t="s">
        <v>355</v>
      </c>
      <c r="J336" t="s">
        <v>271</v>
      </c>
      <c r="K336" t="s">
        <v>272</v>
      </c>
      <c r="L336" t="s">
        <v>273</v>
      </c>
      <c r="M336">
        <v>902764</v>
      </c>
    </row>
    <row r="337" spans="1:12" ht="15">
      <c r="A337" s="4">
        <v>201402</v>
      </c>
      <c r="B337" t="s">
        <v>270</v>
      </c>
      <c r="C337" s="5">
        <v>6479419</v>
      </c>
      <c r="D337" s="2" t="s">
        <v>356</v>
      </c>
      <c r="E337" s="2" t="s">
        <v>15</v>
      </c>
      <c r="F337" s="3">
        <v>2.29</v>
      </c>
      <c r="H337" s="1" t="s">
        <v>66</v>
      </c>
      <c r="I337" t="s">
        <v>67</v>
      </c>
      <c r="J337" t="s">
        <v>271</v>
      </c>
      <c r="K337" t="s">
        <v>272</v>
      </c>
      <c r="L337" t="s">
        <v>273</v>
      </c>
    </row>
    <row r="338" spans="1:13" ht="15">
      <c r="A338" s="4">
        <v>201405</v>
      </c>
      <c r="B338" t="s">
        <v>270</v>
      </c>
      <c r="C338" s="5">
        <v>6483873</v>
      </c>
      <c r="D338" s="2" t="s">
        <v>358</v>
      </c>
      <c r="E338" s="2" t="s">
        <v>15</v>
      </c>
      <c r="F338" s="3">
        <v>1193.94</v>
      </c>
      <c r="G338" t="s">
        <v>79</v>
      </c>
      <c r="H338" s="1" t="s">
        <v>78</v>
      </c>
      <c r="I338" t="s">
        <v>357</v>
      </c>
      <c r="J338" t="s">
        <v>271</v>
      </c>
      <c r="K338" t="s">
        <v>272</v>
      </c>
      <c r="L338" t="s">
        <v>273</v>
      </c>
      <c r="M338">
        <v>904770</v>
      </c>
    </row>
    <row r="339" spans="1:13" ht="15">
      <c r="A339" s="4">
        <v>201405</v>
      </c>
      <c r="B339" t="s">
        <v>270</v>
      </c>
      <c r="C339" s="5">
        <v>6483873</v>
      </c>
      <c r="D339" s="2" t="s">
        <v>358</v>
      </c>
      <c r="E339" s="2" t="s">
        <v>15</v>
      </c>
      <c r="F339" s="3">
        <v>1270.42</v>
      </c>
      <c r="G339" t="s">
        <v>79</v>
      </c>
      <c r="H339" s="1" t="s">
        <v>46</v>
      </c>
      <c r="I339" t="s">
        <v>357</v>
      </c>
      <c r="J339" t="s">
        <v>271</v>
      </c>
      <c r="K339" t="s">
        <v>272</v>
      </c>
      <c r="L339" t="s">
        <v>273</v>
      </c>
      <c r="M339">
        <v>904770</v>
      </c>
    </row>
    <row r="340" spans="1:12" ht="15">
      <c r="A340" s="4">
        <v>201402</v>
      </c>
      <c r="B340" t="s">
        <v>270</v>
      </c>
      <c r="C340" s="5">
        <v>6483891</v>
      </c>
      <c r="D340" s="2" t="s">
        <v>360</v>
      </c>
      <c r="E340" s="2" t="s">
        <v>15</v>
      </c>
      <c r="F340" s="3">
        <v>7.63</v>
      </c>
      <c r="H340" s="1" t="s">
        <v>14</v>
      </c>
      <c r="I340" t="s">
        <v>359</v>
      </c>
      <c r="J340" t="s">
        <v>271</v>
      </c>
      <c r="K340" t="s">
        <v>272</v>
      </c>
      <c r="L340" t="s">
        <v>273</v>
      </c>
    </row>
    <row r="341" spans="1:12" ht="15">
      <c r="A341" s="4">
        <v>201402</v>
      </c>
      <c r="B341" t="s">
        <v>270</v>
      </c>
      <c r="C341" s="5">
        <v>6483891</v>
      </c>
      <c r="D341" s="2" t="s">
        <v>360</v>
      </c>
      <c r="E341" s="2" t="s">
        <v>15</v>
      </c>
      <c r="F341" s="3">
        <v>1119.4</v>
      </c>
      <c r="H341" s="1" t="s">
        <v>14</v>
      </c>
      <c r="I341" t="s">
        <v>345</v>
      </c>
      <c r="J341" t="s">
        <v>271</v>
      </c>
      <c r="K341" t="s">
        <v>272</v>
      </c>
      <c r="L341" t="s">
        <v>273</v>
      </c>
    </row>
    <row r="342" spans="1:12" ht="15">
      <c r="A342" s="4">
        <v>201402</v>
      </c>
      <c r="B342" t="s">
        <v>270</v>
      </c>
      <c r="C342" s="5">
        <v>6487154</v>
      </c>
      <c r="D342" s="2" t="s">
        <v>362</v>
      </c>
      <c r="E342" s="2" t="s">
        <v>15</v>
      </c>
      <c r="F342" s="3">
        <v>0</v>
      </c>
      <c r="H342" s="1" t="s">
        <v>14</v>
      </c>
      <c r="I342" t="s">
        <v>361</v>
      </c>
      <c r="J342" t="s">
        <v>271</v>
      </c>
      <c r="K342" t="s">
        <v>272</v>
      </c>
      <c r="L342" t="s">
        <v>273</v>
      </c>
    </row>
    <row r="343" spans="1:12" ht="15">
      <c r="A343" s="4">
        <v>201402</v>
      </c>
      <c r="B343" t="s">
        <v>270</v>
      </c>
      <c r="C343" s="5">
        <v>6487154</v>
      </c>
      <c r="D343" s="2" t="s">
        <v>362</v>
      </c>
      <c r="E343" s="2" t="s">
        <v>15</v>
      </c>
      <c r="F343" s="3">
        <v>1.17</v>
      </c>
      <c r="H343" s="1" t="s">
        <v>14</v>
      </c>
      <c r="I343" t="s">
        <v>363</v>
      </c>
      <c r="J343" t="s">
        <v>271</v>
      </c>
      <c r="K343" t="s">
        <v>272</v>
      </c>
      <c r="L343" t="s">
        <v>273</v>
      </c>
    </row>
    <row r="344" spans="1:12" ht="15">
      <c r="A344" s="4">
        <v>201402</v>
      </c>
      <c r="B344" t="s">
        <v>270</v>
      </c>
      <c r="C344" s="5">
        <v>6487154</v>
      </c>
      <c r="D344" s="2" t="s">
        <v>362</v>
      </c>
      <c r="E344" s="2" t="s">
        <v>15</v>
      </c>
      <c r="F344" s="3">
        <v>25</v>
      </c>
      <c r="H344" s="1" t="s">
        <v>14</v>
      </c>
      <c r="I344" t="s">
        <v>364</v>
      </c>
      <c r="J344" t="s">
        <v>271</v>
      </c>
      <c r="K344" t="s">
        <v>272</v>
      </c>
      <c r="L344" t="s">
        <v>273</v>
      </c>
    </row>
    <row r="345" spans="1:12" ht="15">
      <c r="A345" s="4">
        <v>201403</v>
      </c>
      <c r="B345" t="s">
        <v>270</v>
      </c>
      <c r="C345" s="5">
        <v>6487154</v>
      </c>
      <c r="D345" s="2" t="s">
        <v>362</v>
      </c>
      <c r="E345" s="2" t="s">
        <v>15</v>
      </c>
      <c r="F345" s="3">
        <v>-261.48</v>
      </c>
      <c r="H345" s="1" t="s">
        <v>43</v>
      </c>
      <c r="I345" t="s">
        <v>365</v>
      </c>
      <c r="J345" t="s">
        <v>271</v>
      </c>
      <c r="K345" t="s">
        <v>272</v>
      </c>
      <c r="L345" t="s">
        <v>273</v>
      </c>
    </row>
    <row r="346" spans="1:12" ht="15">
      <c r="A346" s="4">
        <v>201403</v>
      </c>
      <c r="B346" t="s">
        <v>270</v>
      </c>
      <c r="C346" s="5">
        <v>6487154</v>
      </c>
      <c r="D346" s="2" t="s">
        <v>362</v>
      </c>
      <c r="E346" s="2" t="s">
        <v>15</v>
      </c>
      <c r="F346" s="3">
        <v>-25</v>
      </c>
      <c r="H346" s="1" t="s">
        <v>43</v>
      </c>
      <c r="I346" t="s">
        <v>364</v>
      </c>
      <c r="J346" t="s">
        <v>271</v>
      </c>
      <c r="K346" t="s">
        <v>272</v>
      </c>
      <c r="L346" t="s">
        <v>273</v>
      </c>
    </row>
    <row r="347" spans="1:14" ht="15">
      <c r="A347" s="4">
        <v>201403</v>
      </c>
      <c r="B347" t="s">
        <v>270</v>
      </c>
      <c r="C347" s="5">
        <v>6487154</v>
      </c>
      <c r="D347" s="2" t="s">
        <v>362</v>
      </c>
      <c r="E347" s="2" t="s">
        <v>15</v>
      </c>
      <c r="F347" s="3">
        <v>-9</v>
      </c>
      <c r="G347" t="s">
        <v>57</v>
      </c>
      <c r="H347" s="1" t="s">
        <v>60</v>
      </c>
      <c r="I347">
        <f>-69151/91242298/2</f>
        <v>-0.00037894157378631565</v>
      </c>
      <c r="J347" t="s">
        <v>271</v>
      </c>
      <c r="K347" t="s">
        <v>272</v>
      </c>
      <c r="L347" t="s">
        <v>273</v>
      </c>
      <c r="N347" t="s">
        <v>58</v>
      </c>
    </row>
    <row r="348" spans="1:13" ht="15">
      <c r="A348" s="4">
        <v>201403</v>
      </c>
      <c r="B348" t="s">
        <v>270</v>
      </c>
      <c r="C348" s="5">
        <v>6487154</v>
      </c>
      <c r="D348" s="2" t="s">
        <v>362</v>
      </c>
      <c r="E348" s="2" t="s">
        <v>15</v>
      </c>
      <c r="F348" s="3">
        <v>0</v>
      </c>
      <c r="G348" t="s">
        <v>366</v>
      </c>
      <c r="H348" s="1" t="s">
        <v>60</v>
      </c>
      <c r="I348" t="e">
        <f>-EXPEDITE FEE</f>
        <v>#NAME?</v>
      </c>
      <c r="J348" t="s">
        <v>271</v>
      </c>
      <c r="K348" t="s">
        <v>272</v>
      </c>
      <c r="L348" t="s">
        <v>273</v>
      </c>
      <c r="M348">
        <v>900114</v>
      </c>
    </row>
    <row r="349" spans="1:14" ht="15">
      <c r="A349" s="4">
        <v>201403</v>
      </c>
      <c r="B349" t="s">
        <v>270</v>
      </c>
      <c r="C349" s="5">
        <v>6487154</v>
      </c>
      <c r="D349" s="2" t="s">
        <v>362</v>
      </c>
      <c r="E349" s="2" t="s">
        <v>15</v>
      </c>
      <c r="F349" s="3">
        <v>1.4</v>
      </c>
      <c r="G349" t="s">
        <v>57</v>
      </c>
      <c r="H349" s="1" t="s">
        <v>60</v>
      </c>
      <c r="I349">
        <f>-66755/91242298/2</f>
        <v>-0.00036581169842960333</v>
      </c>
      <c r="J349" t="s">
        <v>271</v>
      </c>
      <c r="K349" t="s">
        <v>272</v>
      </c>
      <c r="L349" t="s">
        <v>273</v>
      </c>
      <c r="N349" t="s">
        <v>58</v>
      </c>
    </row>
    <row r="350" spans="1:14" ht="15">
      <c r="A350" s="4">
        <v>201403</v>
      </c>
      <c r="B350" t="s">
        <v>270</v>
      </c>
      <c r="C350" s="5">
        <v>6487154</v>
      </c>
      <c r="D350" s="2" t="s">
        <v>362</v>
      </c>
      <c r="E350" s="2" t="s">
        <v>15</v>
      </c>
      <c r="F350" s="3">
        <v>9</v>
      </c>
      <c r="G350" t="s">
        <v>57</v>
      </c>
      <c r="H350" s="1" t="s">
        <v>60</v>
      </c>
      <c r="I350">
        <f>-66755/91242298/1</f>
        <v>-0.0007316233968592067</v>
      </c>
      <c r="J350" t="s">
        <v>271</v>
      </c>
      <c r="K350" t="s">
        <v>272</v>
      </c>
      <c r="L350" t="s">
        <v>273</v>
      </c>
      <c r="N350" t="s">
        <v>58</v>
      </c>
    </row>
    <row r="351" spans="1:14" ht="15">
      <c r="A351" s="4">
        <v>201403</v>
      </c>
      <c r="B351" t="s">
        <v>270</v>
      </c>
      <c r="C351" s="5">
        <v>6487154</v>
      </c>
      <c r="D351" s="2" t="s">
        <v>362</v>
      </c>
      <c r="E351" s="2" t="s">
        <v>15</v>
      </c>
      <c r="F351" s="3">
        <v>9</v>
      </c>
      <c r="G351" t="s">
        <v>57</v>
      </c>
      <c r="H351" s="1" t="s">
        <v>60</v>
      </c>
      <c r="I351">
        <f>-69151/91242298/1</f>
        <v>-0.0007578831475726313</v>
      </c>
      <c r="J351" t="s">
        <v>271</v>
      </c>
      <c r="K351" t="s">
        <v>272</v>
      </c>
      <c r="L351" t="s">
        <v>273</v>
      </c>
      <c r="N351" t="s">
        <v>58</v>
      </c>
    </row>
    <row r="352" spans="1:12" ht="15">
      <c r="A352" s="4">
        <v>201403</v>
      </c>
      <c r="B352" t="s">
        <v>270</v>
      </c>
      <c r="C352" s="5">
        <v>6487154</v>
      </c>
      <c r="D352" s="2" t="s">
        <v>362</v>
      </c>
      <c r="E352" s="2" t="s">
        <v>15</v>
      </c>
      <c r="F352" s="3">
        <v>23.33</v>
      </c>
      <c r="G352" t="s">
        <v>367</v>
      </c>
      <c r="H352" s="1" t="s">
        <v>60</v>
      </c>
      <c r="I352" t="s">
        <v>112</v>
      </c>
      <c r="J352" t="s">
        <v>271</v>
      </c>
      <c r="K352" t="s">
        <v>272</v>
      </c>
      <c r="L352" t="s">
        <v>273</v>
      </c>
    </row>
    <row r="353" spans="1:13" ht="15">
      <c r="A353" s="4">
        <v>201403</v>
      </c>
      <c r="B353" t="s">
        <v>270</v>
      </c>
      <c r="C353" s="5">
        <v>6487154</v>
      </c>
      <c r="D353" s="2" t="s">
        <v>362</v>
      </c>
      <c r="E353" s="2" t="s">
        <v>15</v>
      </c>
      <c r="F353" s="3">
        <v>150</v>
      </c>
      <c r="G353" t="s">
        <v>367</v>
      </c>
      <c r="H353" s="1" t="s">
        <v>60</v>
      </c>
      <c r="I353" t="e">
        <f>-EXPEDITE FEE</f>
        <v>#NAME?</v>
      </c>
      <c r="J353" t="s">
        <v>271</v>
      </c>
      <c r="K353" t="s">
        <v>272</v>
      </c>
      <c r="L353" t="s">
        <v>273</v>
      </c>
      <c r="M353">
        <v>901217</v>
      </c>
    </row>
    <row r="354" spans="1:14" ht="15">
      <c r="A354" s="4">
        <v>201403</v>
      </c>
      <c r="B354" t="s">
        <v>270</v>
      </c>
      <c r="C354" s="5">
        <v>6487154</v>
      </c>
      <c r="D354" s="2" t="s">
        <v>362</v>
      </c>
      <c r="E354" s="2" t="s">
        <v>15</v>
      </c>
      <c r="F354" s="3">
        <v>-3.6</v>
      </c>
      <c r="G354" t="s">
        <v>57</v>
      </c>
      <c r="H354" s="1" t="s">
        <v>69</v>
      </c>
      <c r="I354">
        <f>-69151/91242298/2</f>
        <v>-0.00037894157378631565</v>
      </c>
      <c r="J354" t="s">
        <v>271</v>
      </c>
      <c r="K354" t="s">
        <v>272</v>
      </c>
      <c r="L354" t="s">
        <v>273</v>
      </c>
      <c r="N354" t="s">
        <v>58</v>
      </c>
    </row>
    <row r="355" spans="1:12" ht="15">
      <c r="A355" s="4">
        <v>201403</v>
      </c>
      <c r="B355" t="s">
        <v>270</v>
      </c>
      <c r="C355" s="5">
        <v>6487154</v>
      </c>
      <c r="D355" s="2" t="s">
        <v>362</v>
      </c>
      <c r="E355" s="2" t="s">
        <v>15</v>
      </c>
      <c r="F355" s="3">
        <v>0</v>
      </c>
      <c r="G355" t="s">
        <v>366</v>
      </c>
      <c r="H355" s="1" t="s">
        <v>69</v>
      </c>
      <c r="I355" t="e">
        <f>-freight</f>
        <v>#NAME?</v>
      </c>
      <c r="J355" t="s">
        <v>271</v>
      </c>
      <c r="K355" t="s">
        <v>272</v>
      </c>
      <c r="L355" t="s">
        <v>273</v>
      </c>
    </row>
    <row r="356" spans="1:14" ht="15">
      <c r="A356" s="4">
        <v>201403</v>
      </c>
      <c r="B356" t="s">
        <v>270</v>
      </c>
      <c r="C356" s="5">
        <v>6487154</v>
      </c>
      <c r="D356" s="2" t="s">
        <v>362</v>
      </c>
      <c r="E356" s="2" t="s">
        <v>15</v>
      </c>
      <c r="F356" s="3">
        <v>3.6</v>
      </c>
      <c r="G356" t="s">
        <v>57</v>
      </c>
      <c r="H356" s="1" t="s">
        <v>69</v>
      </c>
      <c r="I356">
        <f>-69151/91242298/1</f>
        <v>-0.0007578831475726313</v>
      </c>
      <c r="J356" t="s">
        <v>271</v>
      </c>
      <c r="K356" t="s">
        <v>272</v>
      </c>
      <c r="L356" t="s">
        <v>273</v>
      </c>
      <c r="N356" t="s">
        <v>58</v>
      </c>
    </row>
    <row r="357" spans="1:12" ht="15">
      <c r="A357" s="4">
        <v>201405</v>
      </c>
      <c r="B357" t="s">
        <v>270</v>
      </c>
      <c r="C357" s="5">
        <v>6491865</v>
      </c>
      <c r="D357" s="2" t="s">
        <v>369</v>
      </c>
      <c r="E357" s="2" t="s">
        <v>131</v>
      </c>
      <c r="F357" s="3">
        <v>-65.14</v>
      </c>
      <c r="H357" s="1" t="s">
        <v>330</v>
      </c>
      <c r="I357" t="s">
        <v>368</v>
      </c>
      <c r="J357" t="s">
        <v>271</v>
      </c>
      <c r="K357" t="s">
        <v>272</v>
      </c>
      <c r="L357" t="s">
        <v>273</v>
      </c>
    </row>
    <row r="358" spans="1:12" ht="15">
      <c r="A358" s="4">
        <v>201403</v>
      </c>
      <c r="B358" t="s">
        <v>270</v>
      </c>
      <c r="C358" s="5">
        <v>6491865</v>
      </c>
      <c r="D358" s="2" t="s">
        <v>369</v>
      </c>
      <c r="E358" s="2" t="s">
        <v>131</v>
      </c>
      <c r="F358" s="3">
        <v>14.8</v>
      </c>
      <c r="H358" s="1" t="s">
        <v>14</v>
      </c>
      <c r="I358" t="s">
        <v>370</v>
      </c>
      <c r="J358" t="s">
        <v>271</v>
      </c>
      <c r="K358" t="s">
        <v>272</v>
      </c>
      <c r="L358" t="s">
        <v>273</v>
      </c>
    </row>
    <row r="359" spans="1:12" ht="15">
      <c r="A359" s="4">
        <v>201403</v>
      </c>
      <c r="B359" t="s">
        <v>270</v>
      </c>
      <c r="C359" s="5">
        <v>6491865</v>
      </c>
      <c r="D359" s="2" t="s">
        <v>369</v>
      </c>
      <c r="E359" s="2" t="s">
        <v>131</v>
      </c>
      <c r="F359" s="3">
        <v>414.6</v>
      </c>
      <c r="H359" s="1" t="s">
        <v>14</v>
      </c>
      <c r="I359" t="s">
        <v>371</v>
      </c>
      <c r="J359" t="s">
        <v>271</v>
      </c>
      <c r="K359" t="s">
        <v>272</v>
      </c>
      <c r="L359" t="s">
        <v>273</v>
      </c>
    </row>
    <row r="360" spans="1:13" ht="15">
      <c r="A360" s="4">
        <v>201406</v>
      </c>
      <c r="B360" t="s">
        <v>270</v>
      </c>
      <c r="C360" s="5">
        <v>6491865</v>
      </c>
      <c r="D360" s="2" t="s">
        <v>369</v>
      </c>
      <c r="E360" s="2" t="s">
        <v>131</v>
      </c>
      <c r="F360" s="3">
        <v>645.99</v>
      </c>
      <c r="G360" t="s">
        <v>119</v>
      </c>
      <c r="H360" s="1" t="s">
        <v>46</v>
      </c>
      <c r="I360" t="s">
        <v>144</v>
      </c>
      <c r="J360" t="s">
        <v>271</v>
      </c>
      <c r="K360" t="s">
        <v>272</v>
      </c>
      <c r="L360" t="s">
        <v>273</v>
      </c>
      <c r="M360">
        <v>907195</v>
      </c>
    </row>
    <row r="361" spans="1:12" ht="15">
      <c r="A361" s="4">
        <v>201405</v>
      </c>
      <c r="B361" t="s">
        <v>270</v>
      </c>
      <c r="C361" s="5">
        <v>6491865</v>
      </c>
      <c r="D361" s="2" t="s">
        <v>369</v>
      </c>
      <c r="E361" s="2" t="s">
        <v>131</v>
      </c>
      <c r="F361" s="3">
        <v>0.25</v>
      </c>
      <c r="H361" s="1" t="s">
        <v>66</v>
      </c>
      <c r="I361" t="s">
        <v>67</v>
      </c>
      <c r="J361" t="s">
        <v>271</v>
      </c>
      <c r="K361" t="s">
        <v>272</v>
      </c>
      <c r="L361" t="s">
        <v>273</v>
      </c>
    </row>
    <row r="362" spans="1:12" ht="15">
      <c r="A362" s="4">
        <v>201404</v>
      </c>
      <c r="B362" t="s">
        <v>270</v>
      </c>
      <c r="C362" s="5">
        <v>6494025</v>
      </c>
      <c r="D362" s="2" t="s">
        <v>372</v>
      </c>
      <c r="E362" s="2" t="s">
        <v>15</v>
      </c>
      <c r="F362" s="3">
        <v>0.8</v>
      </c>
      <c r="H362" s="1" t="s">
        <v>14</v>
      </c>
      <c r="I362" t="s">
        <v>16</v>
      </c>
      <c r="J362" t="s">
        <v>271</v>
      </c>
      <c r="K362" t="s">
        <v>272</v>
      </c>
      <c r="L362" t="s">
        <v>273</v>
      </c>
    </row>
    <row r="363" spans="1:12" ht="15">
      <c r="A363" s="4">
        <v>201404</v>
      </c>
      <c r="B363" t="s">
        <v>270</v>
      </c>
      <c r="C363" s="5">
        <v>6494025</v>
      </c>
      <c r="D363" s="2" t="s">
        <v>372</v>
      </c>
      <c r="E363" s="2" t="s">
        <v>15</v>
      </c>
      <c r="F363" s="3">
        <v>2.04</v>
      </c>
      <c r="H363" s="1" t="s">
        <v>14</v>
      </c>
      <c r="I363" t="s">
        <v>373</v>
      </c>
      <c r="J363" t="s">
        <v>271</v>
      </c>
      <c r="K363" t="s">
        <v>272</v>
      </c>
      <c r="L363" t="s">
        <v>273</v>
      </c>
    </row>
    <row r="364" spans="1:12" ht="15">
      <c r="A364" s="4">
        <v>201404</v>
      </c>
      <c r="B364" t="s">
        <v>270</v>
      </c>
      <c r="C364" s="5">
        <v>6494025</v>
      </c>
      <c r="D364" s="2" t="s">
        <v>372</v>
      </c>
      <c r="E364" s="2" t="s">
        <v>15</v>
      </c>
      <c r="F364" s="3">
        <v>2.34</v>
      </c>
      <c r="H364" s="1" t="s">
        <v>14</v>
      </c>
      <c r="I364" t="s">
        <v>363</v>
      </c>
      <c r="J364" t="s">
        <v>271</v>
      </c>
      <c r="K364" t="s">
        <v>272</v>
      </c>
      <c r="L364" t="s">
        <v>273</v>
      </c>
    </row>
    <row r="365" spans="1:12" ht="15">
      <c r="A365" s="4">
        <v>201404</v>
      </c>
      <c r="B365" t="s">
        <v>270</v>
      </c>
      <c r="C365" s="5">
        <v>6494025</v>
      </c>
      <c r="D365" s="2" t="s">
        <v>372</v>
      </c>
      <c r="E365" s="2" t="s">
        <v>15</v>
      </c>
      <c r="F365" s="3">
        <v>3.99</v>
      </c>
      <c r="H365" s="1" t="s">
        <v>14</v>
      </c>
      <c r="I365" t="s">
        <v>374</v>
      </c>
      <c r="J365" t="s">
        <v>271</v>
      </c>
      <c r="K365" t="s">
        <v>272</v>
      </c>
      <c r="L365" t="s">
        <v>273</v>
      </c>
    </row>
    <row r="366" spans="1:12" ht="15">
      <c r="A366" s="4">
        <v>201404</v>
      </c>
      <c r="B366" t="s">
        <v>270</v>
      </c>
      <c r="C366" s="5">
        <v>6494025</v>
      </c>
      <c r="D366" s="2" t="s">
        <v>372</v>
      </c>
      <c r="E366" s="2" t="s">
        <v>15</v>
      </c>
      <c r="F366" s="3">
        <v>5.16</v>
      </c>
      <c r="H366" s="1" t="s">
        <v>14</v>
      </c>
      <c r="I366" t="s">
        <v>375</v>
      </c>
      <c r="J366" t="s">
        <v>271</v>
      </c>
      <c r="K366" t="s">
        <v>272</v>
      </c>
      <c r="L366" t="s">
        <v>273</v>
      </c>
    </row>
    <row r="367" spans="1:12" ht="15">
      <c r="A367" s="4">
        <v>201404</v>
      </c>
      <c r="B367" t="s">
        <v>270</v>
      </c>
      <c r="C367" s="5">
        <v>6494025</v>
      </c>
      <c r="D367" s="2" t="s">
        <v>372</v>
      </c>
      <c r="E367" s="2" t="s">
        <v>15</v>
      </c>
      <c r="F367" s="3">
        <v>5.5</v>
      </c>
      <c r="H367" s="1" t="s">
        <v>14</v>
      </c>
      <c r="I367" t="s">
        <v>376</v>
      </c>
      <c r="J367" t="s">
        <v>271</v>
      </c>
      <c r="K367" t="s">
        <v>272</v>
      </c>
      <c r="L367" t="s">
        <v>273</v>
      </c>
    </row>
    <row r="368" spans="1:12" ht="15">
      <c r="A368" s="4">
        <v>201404</v>
      </c>
      <c r="B368" t="s">
        <v>270</v>
      </c>
      <c r="C368" s="5">
        <v>6494025</v>
      </c>
      <c r="D368" s="2" t="s">
        <v>372</v>
      </c>
      <c r="E368" s="2" t="s">
        <v>15</v>
      </c>
      <c r="F368" s="3">
        <v>5.5</v>
      </c>
      <c r="H368" s="1" t="s">
        <v>14</v>
      </c>
      <c r="I368" t="s">
        <v>377</v>
      </c>
      <c r="J368" t="s">
        <v>271</v>
      </c>
      <c r="K368" t="s">
        <v>272</v>
      </c>
      <c r="L368" t="s">
        <v>273</v>
      </c>
    </row>
    <row r="369" spans="1:12" ht="15">
      <c r="A369" s="4">
        <v>201404</v>
      </c>
      <c r="B369" t="s">
        <v>270</v>
      </c>
      <c r="C369" s="5">
        <v>6494025</v>
      </c>
      <c r="D369" s="2" t="s">
        <v>372</v>
      </c>
      <c r="E369" s="2" t="s">
        <v>15</v>
      </c>
      <c r="F369" s="3">
        <v>6</v>
      </c>
      <c r="H369" s="1" t="s">
        <v>14</v>
      </c>
      <c r="I369" t="s">
        <v>307</v>
      </c>
      <c r="J369" t="s">
        <v>271</v>
      </c>
      <c r="K369" t="s">
        <v>272</v>
      </c>
      <c r="L369" t="s">
        <v>273</v>
      </c>
    </row>
    <row r="370" spans="1:12" ht="15">
      <c r="A370" s="4">
        <v>201404</v>
      </c>
      <c r="B370" t="s">
        <v>270</v>
      </c>
      <c r="C370" s="5">
        <v>6494025</v>
      </c>
      <c r="D370" s="2" t="s">
        <v>372</v>
      </c>
      <c r="E370" s="2" t="s">
        <v>15</v>
      </c>
      <c r="F370" s="3">
        <v>6.55</v>
      </c>
      <c r="H370" s="1" t="s">
        <v>14</v>
      </c>
      <c r="I370" t="s">
        <v>102</v>
      </c>
      <c r="J370" t="s">
        <v>271</v>
      </c>
      <c r="K370" t="s">
        <v>272</v>
      </c>
      <c r="L370" t="s">
        <v>273</v>
      </c>
    </row>
    <row r="371" spans="1:12" ht="15">
      <c r="A371" s="4">
        <v>201404</v>
      </c>
      <c r="B371" t="s">
        <v>270</v>
      </c>
      <c r="C371" s="5">
        <v>6494025</v>
      </c>
      <c r="D371" s="2" t="s">
        <v>372</v>
      </c>
      <c r="E371" s="2" t="s">
        <v>15</v>
      </c>
      <c r="F371" s="3">
        <v>6.95</v>
      </c>
      <c r="H371" s="1" t="s">
        <v>14</v>
      </c>
      <c r="I371" t="s">
        <v>378</v>
      </c>
      <c r="J371" t="s">
        <v>271</v>
      </c>
      <c r="K371" t="s">
        <v>272</v>
      </c>
      <c r="L371" t="s">
        <v>273</v>
      </c>
    </row>
    <row r="372" spans="1:12" ht="15">
      <c r="A372" s="4">
        <v>201404</v>
      </c>
      <c r="B372" t="s">
        <v>270</v>
      </c>
      <c r="C372" s="5">
        <v>6494025</v>
      </c>
      <c r="D372" s="2" t="s">
        <v>372</v>
      </c>
      <c r="E372" s="2" t="s">
        <v>15</v>
      </c>
      <c r="F372" s="3">
        <v>7.2</v>
      </c>
      <c r="H372" s="1" t="s">
        <v>14</v>
      </c>
      <c r="I372" t="s">
        <v>379</v>
      </c>
      <c r="J372" t="s">
        <v>271</v>
      </c>
      <c r="K372" t="s">
        <v>272</v>
      </c>
      <c r="L372" t="s">
        <v>273</v>
      </c>
    </row>
    <row r="373" spans="1:12" ht="15">
      <c r="A373" s="4">
        <v>201404</v>
      </c>
      <c r="B373" t="s">
        <v>270</v>
      </c>
      <c r="C373" s="5">
        <v>6494025</v>
      </c>
      <c r="D373" s="2" t="s">
        <v>372</v>
      </c>
      <c r="E373" s="2" t="s">
        <v>15</v>
      </c>
      <c r="F373" s="3">
        <v>7.45</v>
      </c>
      <c r="H373" s="1" t="s">
        <v>14</v>
      </c>
      <c r="I373" t="s">
        <v>380</v>
      </c>
      <c r="J373" t="s">
        <v>271</v>
      </c>
      <c r="K373" t="s">
        <v>272</v>
      </c>
      <c r="L373" t="s">
        <v>273</v>
      </c>
    </row>
    <row r="374" spans="1:12" ht="15">
      <c r="A374" s="4">
        <v>201404</v>
      </c>
      <c r="B374" t="s">
        <v>270</v>
      </c>
      <c r="C374" s="5">
        <v>6494025</v>
      </c>
      <c r="D374" s="2" t="s">
        <v>372</v>
      </c>
      <c r="E374" s="2" t="s">
        <v>15</v>
      </c>
      <c r="F374" s="3">
        <v>7.47</v>
      </c>
      <c r="H374" s="1" t="s">
        <v>14</v>
      </c>
      <c r="I374" t="s">
        <v>23</v>
      </c>
      <c r="J374" t="s">
        <v>271</v>
      </c>
      <c r="K374" t="s">
        <v>272</v>
      </c>
      <c r="L374" t="s">
        <v>273</v>
      </c>
    </row>
    <row r="375" spans="1:12" ht="15">
      <c r="A375" s="4">
        <v>201404</v>
      </c>
      <c r="B375" t="s">
        <v>270</v>
      </c>
      <c r="C375" s="5">
        <v>6494025</v>
      </c>
      <c r="D375" s="2" t="s">
        <v>372</v>
      </c>
      <c r="E375" s="2" t="s">
        <v>15</v>
      </c>
      <c r="F375" s="3">
        <v>7.73</v>
      </c>
      <c r="H375" s="1" t="s">
        <v>14</v>
      </c>
      <c r="I375" t="s">
        <v>35</v>
      </c>
      <c r="J375" t="s">
        <v>271</v>
      </c>
      <c r="K375" t="s">
        <v>272</v>
      </c>
      <c r="L375" t="s">
        <v>273</v>
      </c>
    </row>
    <row r="376" spans="1:12" ht="15">
      <c r="A376" s="4">
        <v>201404</v>
      </c>
      <c r="B376" t="s">
        <v>270</v>
      </c>
      <c r="C376" s="5">
        <v>6494025</v>
      </c>
      <c r="D376" s="2" t="s">
        <v>372</v>
      </c>
      <c r="E376" s="2" t="s">
        <v>15</v>
      </c>
      <c r="F376" s="3">
        <v>8.72</v>
      </c>
      <c r="H376" s="1" t="s">
        <v>14</v>
      </c>
      <c r="I376" t="s">
        <v>381</v>
      </c>
      <c r="J376" t="s">
        <v>271</v>
      </c>
      <c r="K376" t="s">
        <v>272</v>
      </c>
      <c r="L376" t="s">
        <v>273</v>
      </c>
    </row>
    <row r="377" spans="1:12" ht="15">
      <c r="A377" s="4">
        <v>201404</v>
      </c>
      <c r="B377" t="s">
        <v>270</v>
      </c>
      <c r="C377" s="5">
        <v>6494025</v>
      </c>
      <c r="D377" s="2" t="s">
        <v>372</v>
      </c>
      <c r="E377" s="2" t="s">
        <v>15</v>
      </c>
      <c r="F377" s="3">
        <v>9.25</v>
      </c>
      <c r="H377" s="1" t="s">
        <v>14</v>
      </c>
      <c r="I377" t="s">
        <v>30</v>
      </c>
      <c r="J377" t="s">
        <v>271</v>
      </c>
      <c r="K377" t="s">
        <v>272</v>
      </c>
      <c r="L377" t="s">
        <v>273</v>
      </c>
    </row>
    <row r="378" spans="1:12" ht="15">
      <c r="A378" s="4">
        <v>201404</v>
      </c>
      <c r="B378" t="s">
        <v>270</v>
      </c>
      <c r="C378" s="5">
        <v>6494025</v>
      </c>
      <c r="D378" s="2" t="s">
        <v>372</v>
      </c>
      <c r="E378" s="2" t="s">
        <v>15</v>
      </c>
      <c r="F378" s="3">
        <v>9.45</v>
      </c>
      <c r="H378" s="1" t="s">
        <v>14</v>
      </c>
      <c r="I378" t="s">
        <v>323</v>
      </c>
      <c r="J378" t="s">
        <v>271</v>
      </c>
      <c r="K378" t="s">
        <v>272</v>
      </c>
      <c r="L378" t="s">
        <v>273</v>
      </c>
    </row>
    <row r="379" spans="1:12" ht="15">
      <c r="A379" s="4">
        <v>201404</v>
      </c>
      <c r="B379" t="s">
        <v>270</v>
      </c>
      <c r="C379" s="5">
        <v>6494025</v>
      </c>
      <c r="D379" s="2" t="s">
        <v>372</v>
      </c>
      <c r="E379" s="2" t="s">
        <v>15</v>
      </c>
      <c r="F379" s="3">
        <v>9.9</v>
      </c>
      <c r="H379" s="1" t="s">
        <v>14</v>
      </c>
      <c r="I379" t="s">
        <v>382</v>
      </c>
      <c r="J379" t="s">
        <v>271</v>
      </c>
      <c r="K379" t="s">
        <v>272</v>
      </c>
      <c r="L379" t="s">
        <v>273</v>
      </c>
    </row>
    <row r="380" spans="1:12" ht="15">
      <c r="A380" s="4">
        <v>201404</v>
      </c>
      <c r="B380" t="s">
        <v>270</v>
      </c>
      <c r="C380" s="5">
        <v>6494025</v>
      </c>
      <c r="D380" s="2" t="s">
        <v>372</v>
      </c>
      <c r="E380" s="2" t="s">
        <v>15</v>
      </c>
      <c r="F380" s="3">
        <v>10.22</v>
      </c>
      <c r="H380" s="1" t="s">
        <v>14</v>
      </c>
      <c r="I380" t="s">
        <v>383</v>
      </c>
      <c r="J380" t="s">
        <v>271</v>
      </c>
      <c r="K380" t="s">
        <v>272</v>
      </c>
      <c r="L380" t="s">
        <v>273</v>
      </c>
    </row>
    <row r="381" spans="1:12" ht="15">
      <c r="A381" s="4">
        <v>201404</v>
      </c>
      <c r="B381" t="s">
        <v>270</v>
      </c>
      <c r="C381" s="5">
        <v>6494025</v>
      </c>
      <c r="D381" s="2" t="s">
        <v>372</v>
      </c>
      <c r="E381" s="2" t="s">
        <v>15</v>
      </c>
      <c r="F381" s="3">
        <v>14.25</v>
      </c>
      <c r="H381" s="1" t="s">
        <v>14</v>
      </c>
      <c r="I381" t="s">
        <v>384</v>
      </c>
      <c r="J381" t="s">
        <v>271</v>
      </c>
      <c r="K381" t="s">
        <v>272</v>
      </c>
      <c r="L381" t="s">
        <v>273</v>
      </c>
    </row>
    <row r="382" spans="1:12" ht="15">
      <c r="A382" s="4">
        <v>201404</v>
      </c>
      <c r="B382" t="s">
        <v>270</v>
      </c>
      <c r="C382" s="5">
        <v>6494025</v>
      </c>
      <c r="D382" s="2" t="s">
        <v>372</v>
      </c>
      <c r="E382" s="2" t="s">
        <v>15</v>
      </c>
      <c r="F382" s="3">
        <v>18.2</v>
      </c>
      <c r="H382" s="1" t="s">
        <v>14</v>
      </c>
      <c r="I382" t="s">
        <v>385</v>
      </c>
      <c r="J382" t="s">
        <v>271</v>
      </c>
      <c r="K382" t="s">
        <v>272</v>
      </c>
      <c r="L382" t="s">
        <v>273</v>
      </c>
    </row>
    <row r="383" spans="1:12" ht="15">
      <c r="A383" s="4">
        <v>201404</v>
      </c>
      <c r="B383" t="s">
        <v>270</v>
      </c>
      <c r="C383" s="5">
        <v>6494025</v>
      </c>
      <c r="D383" s="2" t="s">
        <v>372</v>
      </c>
      <c r="E383" s="2" t="s">
        <v>15</v>
      </c>
      <c r="F383" s="3">
        <v>27</v>
      </c>
      <c r="H383" s="1" t="s">
        <v>14</v>
      </c>
      <c r="I383" t="s">
        <v>90</v>
      </c>
      <c r="J383" t="s">
        <v>271</v>
      </c>
      <c r="K383" t="s">
        <v>272</v>
      </c>
      <c r="L383" t="s">
        <v>273</v>
      </c>
    </row>
    <row r="384" spans="1:12" ht="15">
      <c r="A384" s="4">
        <v>201404</v>
      </c>
      <c r="B384" t="s">
        <v>270</v>
      </c>
      <c r="C384" s="5">
        <v>6494025</v>
      </c>
      <c r="D384" s="2" t="s">
        <v>372</v>
      </c>
      <c r="E384" s="2" t="s">
        <v>15</v>
      </c>
      <c r="F384" s="3">
        <v>29</v>
      </c>
      <c r="H384" s="1" t="s">
        <v>14</v>
      </c>
      <c r="I384" t="s">
        <v>335</v>
      </c>
      <c r="J384" t="s">
        <v>271</v>
      </c>
      <c r="K384" t="s">
        <v>272</v>
      </c>
      <c r="L384" t="s">
        <v>273</v>
      </c>
    </row>
    <row r="385" spans="1:12" ht="15">
      <c r="A385" s="4">
        <v>201404</v>
      </c>
      <c r="B385" t="s">
        <v>270</v>
      </c>
      <c r="C385" s="5">
        <v>6494025</v>
      </c>
      <c r="D385" s="2" t="s">
        <v>372</v>
      </c>
      <c r="E385" s="2" t="s">
        <v>15</v>
      </c>
      <c r="F385" s="3">
        <v>31.65</v>
      </c>
      <c r="H385" s="1" t="s">
        <v>14</v>
      </c>
      <c r="I385" t="s">
        <v>386</v>
      </c>
      <c r="J385" t="s">
        <v>271</v>
      </c>
      <c r="K385" t="s">
        <v>272</v>
      </c>
      <c r="L385" t="s">
        <v>273</v>
      </c>
    </row>
    <row r="386" spans="1:12" ht="15">
      <c r="A386" s="4">
        <v>201404</v>
      </c>
      <c r="B386" t="s">
        <v>270</v>
      </c>
      <c r="C386" s="5">
        <v>6494025</v>
      </c>
      <c r="D386" s="2" t="s">
        <v>372</v>
      </c>
      <c r="E386" s="2" t="s">
        <v>15</v>
      </c>
      <c r="F386" s="3">
        <v>34.19</v>
      </c>
      <c r="H386" s="1" t="s">
        <v>14</v>
      </c>
      <c r="I386" t="s">
        <v>71</v>
      </c>
      <c r="J386" t="s">
        <v>271</v>
      </c>
      <c r="K386" t="s">
        <v>272</v>
      </c>
      <c r="L386" t="s">
        <v>273</v>
      </c>
    </row>
    <row r="387" spans="1:12" ht="15">
      <c r="A387" s="4">
        <v>201404</v>
      </c>
      <c r="B387" t="s">
        <v>270</v>
      </c>
      <c r="C387" s="5">
        <v>6494025</v>
      </c>
      <c r="D387" s="2" t="s">
        <v>372</v>
      </c>
      <c r="E387" s="2" t="s">
        <v>15</v>
      </c>
      <c r="F387" s="3">
        <v>37.78</v>
      </c>
      <c r="H387" s="1" t="s">
        <v>14</v>
      </c>
      <c r="I387" t="s">
        <v>312</v>
      </c>
      <c r="J387" t="s">
        <v>271</v>
      </c>
      <c r="K387" t="s">
        <v>272</v>
      </c>
      <c r="L387" t="s">
        <v>273</v>
      </c>
    </row>
    <row r="388" spans="1:12" ht="15">
      <c r="A388" s="4">
        <v>201404</v>
      </c>
      <c r="B388" t="s">
        <v>270</v>
      </c>
      <c r="C388" s="5">
        <v>6494025</v>
      </c>
      <c r="D388" s="2" t="s">
        <v>372</v>
      </c>
      <c r="E388" s="2" t="s">
        <v>15</v>
      </c>
      <c r="F388" s="3">
        <v>39.17</v>
      </c>
      <c r="H388" s="1" t="s">
        <v>14</v>
      </c>
      <c r="I388" t="s">
        <v>387</v>
      </c>
      <c r="J388" t="s">
        <v>271</v>
      </c>
      <c r="K388" t="s">
        <v>272</v>
      </c>
      <c r="L388" t="s">
        <v>273</v>
      </c>
    </row>
    <row r="389" spans="1:12" ht="15">
      <c r="A389" s="4">
        <v>201404</v>
      </c>
      <c r="B389" t="s">
        <v>270</v>
      </c>
      <c r="C389" s="5">
        <v>6494025</v>
      </c>
      <c r="D389" s="2" t="s">
        <v>372</v>
      </c>
      <c r="E389" s="2" t="s">
        <v>15</v>
      </c>
      <c r="F389" s="3">
        <v>40.2</v>
      </c>
      <c r="H389" s="1" t="s">
        <v>14</v>
      </c>
      <c r="I389" t="s">
        <v>388</v>
      </c>
      <c r="J389" t="s">
        <v>271</v>
      </c>
      <c r="K389" t="s">
        <v>272</v>
      </c>
      <c r="L389" t="s">
        <v>273</v>
      </c>
    </row>
    <row r="390" spans="1:12" ht="15">
      <c r="A390" s="4">
        <v>201404</v>
      </c>
      <c r="B390" t="s">
        <v>270</v>
      </c>
      <c r="C390" s="5">
        <v>6494025</v>
      </c>
      <c r="D390" s="2" t="s">
        <v>372</v>
      </c>
      <c r="E390" s="2" t="s">
        <v>15</v>
      </c>
      <c r="F390" s="3">
        <v>42.36</v>
      </c>
      <c r="H390" s="1" t="s">
        <v>14</v>
      </c>
      <c r="I390" t="s">
        <v>327</v>
      </c>
      <c r="J390" t="s">
        <v>271</v>
      </c>
      <c r="K390" t="s">
        <v>272</v>
      </c>
      <c r="L390" t="s">
        <v>273</v>
      </c>
    </row>
    <row r="391" spans="1:12" ht="15">
      <c r="A391" s="4">
        <v>201404</v>
      </c>
      <c r="B391" t="s">
        <v>270</v>
      </c>
      <c r="C391" s="5">
        <v>6494025</v>
      </c>
      <c r="D391" s="2" t="s">
        <v>372</v>
      </c>
      <c r="E391" s="2" t="s">
        <v>15</v>
      </c>
      <c r="F391" s="3">
        <v>44.02</v>
      </c>
      <c r="H391" s="1" t="s">
        <v>14</v>
      </c>
      <c r="I391" t="s">
        <v>259</v>
      </c>
      <c r="J391" t="s">
        <v>271</v>
      </c>
      <c r="K391" t="s">
        <v>272</v>
      </c>
      <c r="L391" t="s">
        <v>273</v>
      </c>
    </row>
    <row r="392" spans="1:12" ht="15">
      <c r="A392" s="4">
        <v>201404</v>
      </c>
      <c r="B392" t="s">
        <v>270</v>
      </c>
      <c r="C392" s="5">
        <v>6494025</v>
      </c>
      <c r="D392" s="2" t="s">
        <v>372</v>
      </c>
      <c r="E392" s="2" t="s">
        <v>15</v>
      </c>
      <c r="F392" s="3">
        <v>44.47</v>
      </c>
      <c r="H392" s="1" t="s">
        <v>14</v>
      </c>
      <c r="I392" t="s">
        <v>389</v>
      </c>
      <c r="J392" t="s">
        <v>271</v>
      </c>
      <c r="K392" t="s">
        <v>272</v>
      </c>
      <c r="L392" t="s">
        <v>273</v>
      </c>
    </row>
    <row r="393" spans="1:12" ht="15">
      <c r="A393" s="4">
        <v>201404</v>
      </c>
      <c r="B393" t="s">
        <v>270</v>
      </c>
      <c r="C393" s="5">
        <v>6494025</v>
      </c>
      <c r="D393" s="2" t="s">
        <v>372</v>
      </c>
      <c r="E393" s="2" t="s">
        <v>15</v>
      </c>
      <c r="F393" s="3">
        <v>46.5</v>
      </c>
      <c r="H393" s="1" t="s">
        <v>14</v>
      </c>
      <c r="I393" t="s">
        <v>36</v>
      </c>
      <c r="J393" t="s">
        <v>271</v>
      </c>
      <c r="K393" t="s">
        <v>272</v>
      </c>
      <c r="L393" t="s">
        <v>273</v>
      </c>
    </row>
    <row r="394" spans="1:12" ht="15">
      <c r="A394" s="4">
        <v>201404</v>
      </c>
      <c r="B394" t="s">
        <v>270</v>
      </c>
      <c r="C394" s="5">
        <v>6494025</v>
      </c>
      <c r="D394" s="2" t="s">
        <v>372</v>
      </c>
      <c r="E394" s="2" t="s">
        <v>15</v>
      </c>
      <c r="F394" s="3">
        <v>88</v>
      </c>
      <c r="H394" s="1" t="s">
        <v>14</v>
      </c>
      <c r="I394" t="s">
        <v>390</v>
      </c>
      <c r="J394" t="s">
        <v>271</v>
      </c>
      <c r="K394" t="s">
        <v>272</v>
      </c>
      <c r="L394" t="s">
        <v>273</v>
      </c>
    </row>
    <row r="395" spans="1:12" ht="15">
      <c r="A395" s="4">
        <v>201404</v>
      </c>
      <c r="B395" t="s">
        <v>270</v>
      </c>
      <c r="C395" s="5">
        <v>6494025</v>
      </c>
      <c r="D395" s="2" t="s">
        <v>372</v>
      </c>
      <c r="E395" s="2" t="s">
        <v>15</v>
      </c>
      <c r="F395" s="3">
        <v>107.85</v>
      </c>
      <c r="H395" s="1" t="s">
        <v>14</v>
      </c>
      <c r="I395" t="s">
        <v>263</v>
      </c>
      <c r="J395" t="s">
        <v>271</v>
      </c>
      <c r="K395" t="s">
        <v>272</v>
      </c>
      <c r="L395" t="s">
        <v>273</v>
      </c>
    </row>
    <row r="396" spans="1:12" ht="15">
      <c r="A396" s="4">
        <v>201404</v>
      </c>
      <c r="B396" t="s">
        <v>270</v>
      </c>
      <c r="C396" s="5">
        <v>6494025</v>
      </c>
      <c r="D396" s="2" t="s">
        <v>372</v>
      </c>
      <c r="E396" s="2" t="s">
        <v>15</v>
      </c>
      <c r="F396" s="3">
        <v>111.2</v>
      </c>
      <c r="H396" s="1" t="s">
        <v>14</v>
      </c>
      <c r="I396" t="s">
        <v>91</v>
      </c>
      <c r="J396" t="s">
        <v>271</v>
      </c>
      <c r="K396" t="s">
        <v>272</v>
      </c>
      <c r="L396" t="s">
        <v>273</v>
      </c>
    </row>
    <row r="397" spans="1:12" ht="15">
      <c r="A397" s="4">
        <v>201404</v>
      </c>
      <c r="B397" t="s">
        <v>270</v>
      </c>
      <c r="C397" s="5">
        <v>6494025</v>
      </c>
      <c r="D397" s="2" t="s">
        <v>372</v>
      </c>
      <c r="E397" s="2" t="s">
        <v>15</v>
      </c>
      <c r="F397" s="3">
        <v>278</v>
      </c>
      <c r="H397" s="1" t="s">
        <v>14</v>
      </c>
      <c r="I397" t="s">
        <v>89</v>
      </c>
      <c r="J397" t="s">
        <v>271</v>
      </c>
      <c r="K397" t="s">
        <v>272</v>
      </c>
      <c r="L397" t="s">
        <v>273</v>
      </c>
    </row>
    <row r="398" spans="1:12" ht="15">
      <c r="A398" s="4">
        <v>201405</v>
      </c>
      <c r="B398" t="s">
        <v>270</v>
      </c>
      <c r="C398" s="5">
        <v>6494025</v>
      </c>
      <c r="D398" s="2" t="s">
        <v>372</v>
      </c>
      <c r="E398" s="2" t="s">
        <v>15</v>
      </c>
      <c r="F398" s="3">
        <v>1.82</v>
      </c>
      <c r="H398" s="1" t="s">
        <v>14</v>
      </c>
      <c r="I398" t="s">
        <v>84</v>
      </c>
      <c r="J398" t="s">
        <v>271</v>
      </c>
      <c r="K398" t="s">
        <v>272</v>
      </c>
      <c r="L398" t="s">
        <v>273</v>
      </c>
    </row>
    <row r="399" spans="1:12" ht="15">
      <c r="A399" s="4">
        <v>201405</v>
      </c>
      <c r="B399" t="s">
        <v>270</v>
      </c>
      <c r="C399" s="5">
        <v>6494025</v>
      </c>
      <c r="D399" s="2" t="s">
        <v>372</v>
      </c>
      <c r="E399" s="2" t="s">
        <v>15</v>
      </c>
      <c r="F399" s="3">
        <v>4.76</v>
      </c>
      <c r="H399" s="1" t="s">
        <v>14</v>
      </c>
      <c r="I399" t="s">
        <v>391</v>
      </c>
      <c r="J399" t="s">
        <v>271</v>
      </c>
      <c r="K399" t="s">
        <v>272</v>
      </c>
      <c r="L399" t="s">
        <v>273</v>
      </c>
    </row>
    <row r="400" spans="1:12" ht="15">
      <c r="A400" s="4">
        <v>201405</v>
      </c>
      <c r="B400" t="s">
        <v>270</v>
      </c>
      <c r="C400" s="5">
        <v>6494025</v>
      </c>
      <c r="D400" s="2" t="s">
        <v>372</v>
      </c>
      <c r="E400" s="2" t="s">
        <v>15</v>
      </c>
      <c r="F400" s="3">
        <v>5.09</v>
      </c>
      <c r="H400" s="1" t="s">
        <v>14</v>
      </c>
      <c r="I400" t="s">
        <v>392</v>
      </c>
      <c r="J400" t="s">
        <v>271</v>
      </c>
      <c r="K400" t="s">
        <v>272</v>
      </c>
      <c r="L400" t="s">
        <v>273</v>
      </c>
    </row>
    <row r="401" spans="1:12" ht="15">
      <c r="A401" s="4">
        <v>201405</v>
      </c>
      <c r="B401" t="s">
        <v>270</v>
      </c>
      <c r="C401" s="5">
        <v>6494025</v>
      </c>
      <c r="D401" s="2" t="s">
        <v>372</v>
      </c>
      <c r="E401" s="2" t="s">
        <v>15</v>
      </c>
      <c r="F401" s="3">
        <v>5.32</v>
      </c>
      <c r="H401" s="1" t="s">
        <v>14</v>
      </c>
      <c r="I401" t="s">
        <v>393</v>
      </c>
      <c r="J401" t="s">
        <v>271</v>
      </c>
      <c r="K401" t="s">
        <v>272</v>
      </c>
      <c r="L401" t="s">
        <v>273</v>
      </c>
    </row>
    <row r="402" spans="1:12" ht="15">
      <c r="A402" s="4">
        <v>201405</v>
      </c>
      <c r="B402" t="s">
        <v>270</v>
      </c>
      <c r="C402" s="5">
        <v>6494025</v>
      </c>
      <c r="D402" s="2" t="s">
        <v>372</v>
      </c>
      <c r="E402" s="2" t="s">
        <v>15</v>
      </c>
      <c r="F402" s="3">
        <v>5.75</v>
      </c>
      <c r="H402" s="1" t="s">
        <v>14</v>
      </c>
      <c r="I402" t="s">
        <v>394</v>
      </c>
      <c r="J402" t="s">
        <v>271</v>
      </c>
      <c r="K402" t="s">
        <v>272</v>
      </c>
      <c r="L402" t="s">
        <v>273</v>
      </c>
    </row>
    <row r="403" spans="1:12" ht="15">
      <c r="A403" s="4">
        <v>201405</v>
      </c>
      <c r="B403" t="s">
        <v>270</v>
      </c>
      <c r="C403" s="5">
        <v>6494025</v>
      </c>
      <c r="D403" s="2" t="s">
        <v>372</v>
      </c>
      <c r="E403" s="2" t="s">
        <v>15</v>
      </c>
      <c r="F403" s="3">
        <v>6.75</v>
      </c>
      <c r="H403" s="1" t="s">
        <v>14</v>
      </c>
      <c r="I403" t="s">
        <v>395</v>
      </c>
      <c r="J403" t="s">
        <v>271</v>
      </c>
      <c r="K403" t="s">
        <v>272</v>
      </c>
      <c r="L403" t="s">
        <v>273</v>
      </c>
    </row>
    <row r="404" spans="1:12" ht="15">
      <c r="A404" s="4">
        <v>201405</v>
      </c>
      <c r="B404" t="s">
        <v>270</v>
      </c>
      <c r="C404" s="5">
        <v>6494025</v>
      </c>
      <c r="D404" s="2" t="s">
        <v>372</v>
      </c>
      <c r="E404" s="2" t="s">
        <v>15</v>
      </c>
      <c r="F404" s="3">
        <v>7.75</v>
      </c>
      <c r="H404" s="1" t="s">
        <v>14</v>
      </c>
      <c r="I404" t="s">
        <v>36</v>
      </c>
      <c r="J404" t="s">
        <v>271</v>
      </c>
      <c r="K404" t="s">
        <v>272</v>
      </c>
      <c r="L404" t="s">
        <v>273</v>
      </c>
    </row>
    <row r="405" spans="1:12" ht="15">
      <c r="A405" s="4">
        <v>201405</v>
      </c>
      <c r="B405" t="s">
        <v>270</v>
      </c>
      <c r="C405" s="5">
        <v>6494025</v>
      </c>
      <c r="D405" s="2" t="s">
        <v>372</v>
      </c>
      <c r="E405" s="2" t="s">
        <v>15</v>
      </c>
      <c r="F405" s="3">
        <v>10.22</v>
      </c>
      <c r="H405" s="1" t="s">
        <v>14</v>
      </c>
      <c r="I405" t="s">
        <v>383</v>
      </c>
      <c r="J405" t="s">
        <v>271</v>
      </c>
      <c r="K405" t="s">
        <v>272</v>
      </c>
      <c r="L405" t="s">
        <v>273</v>
      </c>
    </row>
    <row r="406" spans="1:12" ht="15">
      <c r="A406" s="4">
        <v>201405</v>
      </c>
      <c r="B406" t="s">
        <v>270</v>
      </c>
      <c r="C406" s="5">
        <v>6494025</v>
      </c>
      <c r="D406" s="2" t="s">
        <v>372</v>
      </c>
      <c r="E406" s="2" t="s">
        <v>15</v>
      </c>
      <c r="F406" s="3">
        <v>11.5</v>
      </c>
      <c r="H406" s="1" t="s">
        <v>14</v>
      </c>
      <c r="I406" t="s">
        <v>71</v>
      </c>
      <c r="J406" t="s">
        <v>271</v>
      </c>
      <c r="K406" t="s">
        <v>272</v>
      </c>
      <c r="L406" t="s">
        <v>273</v>
      </c>
    </row>
    <row r="407" spans="1:12" ht="15">
      <c r="A407" s="4">
        <v>201405</v>
      </c>
      <c r="B407" t="s">
        <v>270</v>
      </c>
      <c r="C407" s="5">
        <v>6494025</v>
      </c>
      <c r="D407" s="2" t="s">
        <v>372</v>
      </c>
      <c r="E407" s="2" t="s">
        <v>15</v>
      </c>
      <c r="F407" s="3">
        <v>53.95</v>
      </c>
      <c r="H407" s="1" t="s">
        <v>14</v>
      </c>
      <c r="I407" t="s">
        <v>396</v>
      </c>
      <c r="J407" t="s">
        <v>271</v>
      </c>
      <c r="K407" t="s">
        <v>272</v>
      </c>
      <c r="L407" t="s">
        <v>273</v>
      </c>
    </row>
    <row r="408" spans="1:12" ht="15">
      <c r="A408" s="4">
        <v>201405</v>
      </c>
      <c r="B408" t="s">
        <v>270</v>
      </c>
      <c r="C408" s="5">
        <v>6494025</v>
      </c>
      <c r="D408" s="2" t="s">
        <v>372</v>
      </c>
      <c r="E408" s="2" t="s">
        <v>15</v>
      </c>
      <c r="F408" s="3">
        <v>64.35</v>
      </c>
      <c r="H408" s="1" t="s">
        <v>14</v>
      </c>
      <c r="I408" t="s">
        <v>313</v>
      </c>
      <c r="J408" t="s">
        <v>271</v>
      </c>
      <c r="K408" t="s">
        <v>272</v>
      </c>
      <c r="L408" t="s">
        <v>273</v>
      </c>
    </row>
    <row r="409" spans="1:12" ht="15">
      <c r="A409" s="4">
        <v>201405</v>
      </c>
      <c r="B409" t="s">
        <v>270</v>
      </c>
      <c r="C409" s="5">
        <v>6494025</v>
      </c>
      <c r="D409" s="2" t="s">
        <v>372</v>
      </c>
      <c r="E409" s="2" t="s">
        <v>15</v>
      </c>
      <c r="F409" s="3">
        <v>92.96</v>
      </c>
      <c r="H409" s="1" t="s">
        <v>14</v>
      </c>
      <c r="I409" t="s">
        <v>397</v>
      </c>
      <c r="J409" t="s">
        <v>271</v>
      </c>
      <c r="K409" t="s">
        <v>272</v>
      </c>
      <c r="L409" t="s">
        <v>273</v>
      </c>
    </row>
    <row r="410" spans="1:13" ht="15">
      <c r="A410" s="4">
        <v>201405</v>
      </c>
      <c r="B410" t="s">
        <v>270</v>
      </c>
      <c r="C410" s="5">
        <v>6494025</v>
      </c>
      <c r="D410" s="2" t="s">
        <v>372</v>
      </c>
      <c r="E410" s="2" t="s">
        <v>15</v>
      </c>
      <c r="F410" s="3">
        <v>39500</v>
      </c>
      <c r="G410" t="s">
        <v>398</v>
      </c>
      <c r="H410" s="1" t="s">
        <v>44</v>
      </c>
      <c r="I410" t="s">
        <v>399</v>
      </c>
      <c r="J410" t="s">
        <v>271</v>
      </c>
      <c r="K410" t="s">
        <v>272</v>
      </c>
      <c r="L410" t="s">
        <v>273</v>
      </c>
      <c r="M410">
        <v>902355</v>
      </c>
    </row>
    <row r="411" spans="1:14" ht="15">
      <c r="A411" s="4">
        <v>201404</v>
      </c>
      <c r="B411" t="s">
        <v>270</v>
      </c>
      <c r="C411" s="5">
        <v>6494025</v>
      </c>
      <c r="D411" s="2" t="s">
        <v>372</v>
      </c>
      <c r="E411" s="2" t="s">
        <v>15</v>
      </c>
      <c r="F411" s="3">
        <v>2292.66</v>
      </c>
      <c r="G411" t="s">
        <v>57</v>
      </c>
      <c r="H411" s="1" t="s">
        <v>78</v>
      </c>
      <c r="I411">
        <f>-55417/75228/1</f>
        <v>-0.7366539054607327</v>
      </c>
      <c r="J411" t="s">
        <v>271</v>
      </c>
      <c r="K411" t="s">
        <v>272</v>
      </c>
      <c r="L411" t="s">
        <v>273</v>
      </c>
      <c r="N411" t="s">
        <v>58</v>
      </c>
    </row>
    <row r="412" spans="1:13" ht="15">
      <c r="A412" s="4">
        <v>201404</v>
      </c>
      <c r="B412" t="s">
        <v>270</v>
      </c>
      <c r="C412" s="5">
        <v>6494025</v>
      </c>
      <c r="D412" s="2" t="s">
        <v>372</v>
      </c>
      <c r="E412" s="2" t="s">
        <v>15</v>
      </c>
      <c r="F412" s="3">
        <v>3023</v>
      </c>
      <c r="G412" t="s">
        <v>400</v>
      </c>
      <c r="H412" s="1" t="s">
        <v>78</v>
      </c>
      <c r="I412" t="s">
        <v>401</v>
      </c>
      <c r="J412" t="s">
        <v>271</v>
      </c>
      <c r="K412" t="s">
        <v>272</v>
      </c>
      <c r="L412" t="s">
        <v>273</v>
      </c>
      <c r="M412">
        <v>900852</v>
      </c>
    </row>
    <row r="413" spans="1:13" ht="15">
      <c r="A413" s="4">
        <v>201404</v>
      </c>
      <c r="B413" t="s">
        <v>270</v>
      </c>
      <c r="C413" s="5">
        <v>6494025</v>
      </c>
      <c r="D413" s="2" t="s">
        <v>372</v>
      </c>
      <c r="E413" s="2" t="s">
        <v>15</v>
      </c>
      <c r="F413" s="3">
        <v>3798</v>
      </c>
      <c r="G413" t="s">
        <v>400</v>
      </c>
      <c r="H413" s="1" t="s">
        <v>78</v>
      </c>
      <c r="I413" t="s">
        <v>402</v>
      </c>
      <c r="J413" t="s">
        <v>271</v>
      </c>
      <c r="K413" t="s">
        <v>272</v>
      </c>
      <c r="L413" t="s">
        <v>273</v>
      </c>
      <c r="M413">
        <v>900852</v>
      </c>
    </row>
    <row r="414" spans="1:13" ht="15">
      <c r="A414" s="4">
        <v>201404</v>
      </c>
      <c r="B414" t="s">
        <v>270</v>
      </c>
      <c r="C414" s="5">
        <v>6494025</v>
      </c>
      <c r="D414" s="2" t="s">
        <v>372</v>
      </c>
      <c r="E414" s="2" t="s">
        <v>15</v>
      </c>
      <c r="F414" s="3">
        <v>14340</v>
      </c>
      <c r="G414" t="s">
        <v>400</v>
      </c>
      <c r="H414" s="1" t="s">
        <v>78</v>
      </c>
      <c r="I414" t="s">
        <v>403</v>
      </c>
      <c r="J414" t="s">
        <v>271</v>
      </c>
      <c r="K414" t="s">
        <v>272</v>
      </c>
      <c r="L414" t="s">
        <v>273</v>
      </c>
      <c r="M414">
        <v>900852</v>
      </c>
    </row>
    <row r="415" spans="1:13" ht="15">
      <c r="A415" s="4">
        <v>201404</v>
      </c>
      <c r="B415" t="s">
        <v>270</v>
      </c>
      <c r="C415" s="5">
        <v>6494025</v>
      </c>
      <c r="D415" s="2" t="s">
        <v>372</v>
      </c>
      <c r="E415" s="2" t="s">
        <v>15</v>
      </c>
      <c r="F415" s="3">
        <v>17050</v>
      </c>
      <c r="G415" t="s">
        <v>400</v>
      </c>
      <c r="H415" s="1" t="s">
        <v>78</v>
      </c>
      <c r="I415" t="s">
        <v>404</v>
      </c>
      <c r="J415" t="s">
        <v>271</v>
      </c>
      <c r="K415" t="s">
        <v>272</v>
      </c>
      <c r="L415" t="s">
        <v>273</v>
      </c>
      <c r="M415">
        <v>900852</v>
      </c>
    </row>
    <row r="416" spans="1:14" ht="15">
      <c r="A416" s="4">
        <v>201404</v>
      </c>
      <c r="B416" t="s">
        <v>270</v>
      </c>
      <c r="C416" s="5">
        <v>6494025</v>
      </c>
      <c r="D416" s="2" t="s">
        <v>372</v>
      </c>
      <c r="E416" s="2" t="s">
        <v>15</v>
      </c>
      <c r="F416" s="3">
        <v>26.91</v>
      </c>
      <c r="G416" t="s">
        <v>57</v>
      </c>
      <c r="H416" s="1" t="s">
        <v>60</v>
      </c>
      <c r="I416" t="e">
        <f>-16294/KY67758460/1</f>
        <v>#NAME?</v>
      </c>
      <c r="J416" t="s">
        <v>271</v>
      </c>
      <c r="K416" t="s">
        <v>272</v>
      </c>
      <c r="L416" t="s">
        <v>273</v>
      </c>
      <c r="N416" t="s">
        <v>58</v>
      </c>
    </row>
    <row r="417" spans="1:14" ht="15">
      <c r="A417" s="4">
        <v>201404</v>
      </c>
      <c r="B417" t="s">
        <v>270</v>
      </c>
      <c r="C417" s="5">
        <v>6494025</v>
      </c>
      <c r="D417" s="2" t="s">
        <v>372</v>
      </c>
      <c r="E417" s="2" t="s">
        <v>15</v>
      </c>
      <c r="F417" s="3">
        <v>28.5</v>
      </c>
      <c r="G417" t="s">
        <v>57</v>
      </c>
      <c r="H417" s="1" t="s">
        <v>60</v>
      </c>
      <c r="I417" t="e">
        <f>-16294/KY67758065/1</f>
        <v>#NAME?</v>
      </c>
      <c r="J417" t="s">
        <v>271</v>
      </c>
      <c r="K417" t="s">
        <v>272</v>
      </c>
      <c r="L417" t="s">
        <v>273</v>
      </c>
      <c r="N417" t="s">
        <v>58</v>
      </c>
    </row>
    <row r="418" spans="1:14" ht="15">
      <c r="A418" s="4">
        <v>201404</v>
      </c>
      <c r="B418" t="s">
        <v>270</v>
      </c>
      <c r="C418" s="5">
        <v>6494025</v>
      </c>
      <c r="D418" s="2" t="s">
        <v>372</v>
      </c>
      <c r="E418" s="2" t="s">
        <v>15</v>
      </c>
      <c r="F418" s="3">
        <v>69.57</v>
      </c>
      <c r="G418" t="s">
        <v>57</v>
      </c>
      <c r="H418" s="1" t="s">
        <v>60</v>
      </c>
      <c r="I418" t="e">
        <f>-16294/KY67758531/1</f>
        <v>#NAME?</v>
      </c>
      <c r="J418" t="s">
        <v>271</v>
      </c>
      <c r="K418" t="s">
        <v>272</v>
      </c>
      <c r="L418" t="s">
        <v>273</v>
      </c>
      <c r="N418" t="s">
        <v>58</v>
      </c>
    </row>
    <row r="419" spans="1:14" ht="15">
      <c r="A419" s="4">
        <v>201404</v>
      </c>
      <c r="B419" t="s">
        <v>270</v>
      </c>
      <c r="C419" s="5">
        <v>6494025</v>
      </c>
      <c r="D419" s="2" t="s">
        <v>372</v>
      </c>
      <c r="E419" s="2" t="s">
        <v>15</v>
      </c>
      <c r="F419" s="3">
        <v>76.5</v>
      </c>
      <c r="G419" t="s">
        <v>57</v>
      </c>
      <c r="H419" s="1" t="s">
        <v>60</v>
      </c>
      <c r="I419" t="e">
        <f>-16294/KY67758356/1</f>
        <v>#NAME?</v>
      </c>
      <c r="J419" t="s">
        <v>271</v>
      </c>
      <c r="K419" t="s">
        <v>272</v>
      </c>
      <c r="L419" t="s">
        <v>273</v>
      </c>
      <c r="N419" t="s">
        <v>58</v>
      </c>
    </row>
    <row r="420" spans="1:13" ht="15">
      <c r="A420" s="4">
        <v>201404</v>
      </c>
      <c r="B420" t="s">
        <v>270</v>
      </c>
      <c r="C420" s="5">
        <v>6494025</v>
      </c>
      <c r="D420" s="2" t="s">
        <v>372</v>
      </c>
      <c r="E420" s="2" t="s">
        <v>15</v>
      </c>
      <c r="F420" s="3">
        <v>448.47</v>
      </c>
      <c r="G420" t="s">
        <v>96</v>
      </c>
      <c r="H420" s="1" t="s">
        <v>60</v>
      </c>
      <c r="I420" t="s">
        <v>405</v>
      </c>
      <c r="J420" t="s">
        <v>271</v>
      </c>
      <c r="K420" t="s">
        <v>272</v>
      </c>
      <c r="L420" t="s">
        <v>273</v>
      </c>
      <c r="M420">
        <v>903180</v>
      </c>
    </row>
    <row r="421" spans="1:13" ht="15">
      <c r="A421" s="4">
        <v>201404</v>
      </c>
      <c r="B421" t="s">
        <v>270</v>
      </c>
      <c r="C421" s="5">
        <v>6494025</v>
      </c>
      <c r="D421" s="2" t="s">
        <v>372</v>
      </c>
      <c r="E421" s="2" t="s">
        <v>15</v>
      </c>
      <c r="F421" s="3">
        <v>470.27</v>
      </c>
      <c r="G421" t="s">
        <v>96</v>
      </c>
      <c r="H421" s="1" t="s">
        <v>60</v>
      </c>
      <c r="I421" t="s">
        <v>406</v>
      </c>
      <c r="J421" t="s">
        <v>271</v>
      </c>
      <c r="K421" t="s">
        <v>272</v>
      </c>
      <c r="L421" t="s">
        <v>273</v>
      </c>
      <c r="M421">
        <v>902657</v>
      </c>
    </row>
    <row r="422" spans="1:13" ht="15">
      <c r="A422" s="4">
        <v>201404</v>
      </c>
      <c r="B422" t="s">
        <v>270</v>
      </c>
      <c r="C422" s="5">
        <v>6494025</v>
      </c>
      <c r="D422" s="2" t="s">
        <v>372</v>
      </c>
      <c r="E422" s="2" t="s">
        <v>15</v>
      </c>
      <c r="F422" s="3">
        <v>1159.5</v>
      </c>
      <c r="G422" t="s">
        <v>96</v>
      </c>
      <c r="H422" s="1" t="s">
        <v>60</v>
      </c>
      <c r="I422" t="s">
        <v>407</v>
      </c>
      <c r="J422" t="s">
        <v>271</v>
      </c>
      <c r="K422" t="s">
        <v>272</v>
      </c>
      <c r="L422" t="s">
        <v>273</v>
      </c>
      <c r="M422">
        <v>903180</v>
      </c>
    </row>
    <row r="423" spans="1:13" ht="15">
      <c r="A423" s="4">
        <v>201404</v>
      </c>
      <c r="B423" t="s">
        <v>270</v>
      </c>
      <c r="C423" s="5">
        <v>6494025</v>
      </c>
      <c r="D423" s="2" t="s">
        <v>372</v>
      </c>
      <c r="E423" s="2" t="s">
        <v>15</v>
      </c>
      <c r="F423" s="3">
        <v>1275</v>
      </c>
      <c r="G423" t="s">
        <v>96</v>
      </c>
      <c r="H423" s="1" t="s">
        <v>60</v>
      </c>
      <c r="I423" t="s">
        <v>408</v>
      </c>
      <c r="J423" t="s">
        <v>271</v>
      </c>
      <c r="K423" t="s">
        <v>272</v>
      </c>
      <c r="L423" t="s">
        <v>273</v>
      </c>
      <c r="M423">
        <v>902657</v>
      </c>
    </row>
    <row r="424" spans="1:13" ht="15">
      <c r="A424" s="4">
        <v>201405</v>
      </c>
      <c r="B424" t="s">
        <v>270</v>
      </c>
      <c r="C424" s="5">
        <v>6494025</v>
      </c>
      <c r="D424" s="2" t="s">
        <v>372</v>
      </c>
      <c r="E424" s="2" t="s">
        <v>15</v>
      </c>
      <c r="F424" s="3">
        <v>-12.75</v>
      </c>
      <c r="G424" t="s">
        <v>96</v>
      </c>
      <c r="H424" s="1" t="s">
        <v>60</v>
      </c>
      <c r="I424" t="s">
        <v>408</v>
      </c>
      <c r="J424" t="s">
        <v>271</v>
      </c>
      <c r="K424" t="s">
        <v>272</v>
      </c>
      <c r="L424" t="s">
        <v>273</v>
      </c>
      <c r="M424">
        <v>902657</v>
      </c>
    </row>
    <row r="425" spans="1:13" ht="15">
      <c r="A425" s="4">
        <v>201405</v>
      </c>
      <c r="B425" t="s">
        <v>270</v>
      </c>
      <c r="C425" s="5">
        <v>6494025</v>
      </c>
      <c r="D425" s="2" t="s">
        <v>372</v>
      </c>
      <c r="E425" s="2" t="s">
        <v>15</v>
      </c>
      <c r="F425" s="3">
        <v>-11.6</v>
      </c>
      <c r="G425" t="s">
        <v>96</v>
      </c>
      <c r="H425" s="1" t="s">
        <v>60</v>
      </c>
      <c r="I425" t="s">
        <v>407</v>
      </c>
      <c r="J425" t="s">
        <v>271</v>
      </c>
      <c r="K425" t="s">
        <v>272</v>
      </c>
      <c r="L425" t="s">
        <v>273</v>
      </c>
      <c r="M425">
        <v>903180</v>
      </c>
    </row>
    <row r="426" spans="1:13" ht="15">
      <c r="A426" s="4">
        <v>201405</v>
      </c>
      <c r="B426" t="s">
        <v>270</v>
      </c>
      <c r="C426" s="5">
        <v>6494025</v>
      </c>
      <c r="D426" s="2" t="s">
        <v>372</v>
      </c>
      <c r="E426" s="2" t="s">
        <v>15</v>
      </c>
      <c r="F426" s="3">
        <v>-4.48</v>
      </c>
      <c r="G426" t="s">
        <v>96</v>
      </c>
      <c r="H426" s="1" t="s">
        <v>60</v>
      </c>
      <c r="I426" t="s">
        <v>405</v>
      </c>
      <c r="J426" t="s">
        <v>271</v>
      </c>
      <c r="K426" t="s">
        <v>272</v>
      </c>
      <c r="L426" t="s">
        <v>273</v>
      </c>
      <c r="M426">
        <v>903180</v>
      </c>
    </row>
    <row r="427" spans="1:12" ht="15">
      <c r="A427" s="4">
        <v>201402</v>
      </c>
      <c r="B427" t="s">
        <v>270</v>
      </c>
      <c r="C427" s="5">
        <v>6494025</v>
      </c>
      <c r="D427" s="2" t="s">
        <v>372</v>
      </c>
      <c r="E427" s="2" t="s">
        <v>15</v>
      </c>
      <c r="F427" s="3">
        <v>0.81</v>
      </c>
      <c r="H427" s="1" t="s">
        <v>66</v>
      </c>
      <c r="I427" t="s">
        <v>67</v>
      </c>
      <c r="J427" t="s">
        <v>271</v>
      </c>
      <c r="K427" t="s">
        <v>272</v>
      </c>
      <c r="L427" t="s">
        <v>273</v>
      </c>
    </row>
    <row r="428" spans="1:12" ht="15">
      <c r="A428" s="4">
        <v>201404</v>
      </c>
      <c r="B428" t="s">
        <v>270</v>
      </c>
      <c r="C428" s="5">
        <v>6494025</v>
      </c>
      <c r="D428" s="2" t="s">
        <v>372</v>
      </c>
      <c r="E428" s="2" t="s">
        <v>15</v>
      </c>
      <c r="F428" s="3">
        <v>46.48</v>
      </c>
      <c r="H428" s="1" t="s">
        <v>66</v>
      </c>
      <c r="I428" t="s">
        <v>67</v>
      </c>
      <c r="J428" t="s">
        <v>271</v>
      </c>
      <c r="K428" t="s">
        <v>272</v>
      </c>
      <c r="L428" t="s">
        <v>273</v>
      </c>
    </row>
    <row r="429" spans="1:12" ht="15">
      <c r="A429" s="4">
        <v>201405</v>
      </c>
      <c r="B429" t="s">
        <v>270</v>
      </c>
      <c r="C429" s="5">
        <v>6494025</v>
      </c>
      <c r="D429" s="2" t="s">
        <v>372</v>
      </c>
      <c r="E429" s="2" t="s">
        <v>15</v>
      </c>
      <c r="F429" s="3">
        <v>11.98</v>
      </c>
      <c r="H429" s="1" t="s">
        <v>66</v>
      </c>
      <c r="I429" t="s">
        <v>67</v>
      </c>
      <c r="J429" t="s">
        <v>271</v>
      </c>
      <c r="K429" t="s">
        <v>272</v>
      </c>
      <c r="L429" t="s">
        <v>273</v>
      </c>
    </row>
    <row r="430" spans="1:12" ht="15">
      <c r="A430" s="4">
        <v>201404</v>
      </c>
      <c r="B430" t="s">
        <v>270</v>
      </c>
      <c r="C430" s="5">
        <v>6494025</v>
      </c>
      <c r="D430" s="2" t="s">
        <v>372</v>
      </c>
      <c r="E430" s="2" t="s">
        <v>15</v>
      </c>
      <c r="F430" s="3">
        <v>0</v>
      </c>
      <c r="H430" s="1" t="s">
        <v>68</v>
      </c>
      <c r="J430" t="s">
        <v>271</v>
      </c>
      <c r="K430" t="s">
        <v>272</v>
      </c>
      <c r="L430" t="s">
        <v>273</v>
      </c>
    </row>
    <row r="431" spans="1:12" ht="15">
      <c r="A431" s="4">
        <v>201404</v>
      </c>
      <c r="B431" t="s">
        <v>270</v>
      </c>
      <c r="C431" s="5">
        <v>6494025</v>
      </c>
      <c r="D431" s="2" t="s">
        <v>372</v>
      </c>
      <c r="E431" s="2" t="s">
        <v>15</v>
      </c>
      <c r="F431" s="3">
        <v>0</v>
      </c>
      <c r="H431" s="1" t="s">
        <v>68</v>
      </c>
      <c r="J431" t="s">
        <v>271</v>
      </c>
      <c r="K431" t="s">
        <v>272</v>
      </c>
      <c r="L431" t="s">
        <v>273</v>
      </c>
    </row>
    <row r="432" spans="1:12" ht="15">
      <c r="A432" s="4">
        <v>201404</v>
      </c>
      <c r="B432" t="s">
        <v>270</v>
      </c>
      <c r="C432" s="5">
        <v>6494025</v>
      </c>
      <c r="D432" s="2" t="s">
        <v>372</v>
      </c>
      <c r="E432" s="2" t="s">
        <v>15</v>
      </c>
      <c r="F432" s="3">
        <v>24</v>
      </c>
      <c r="H432" s="1" t="s">
        <v>68</v>
      </c>
      <c r="J432" t="s">
        <v>271</v>
      </c>
      <c r="K432" t="s">
        <v>272</v>
      </c>
      <c r="L432" t="s">
        <v>273</v>
      </c>
    </row>
    <row r="433" spans="1:12" ht="15">
      <c r="A433" s="4">
        <v>201405</v>
      </c>
      <c r="B433" t="s">
        <v>270</v>
      </c>
      <c r="C433" s="5">
        <v>6494025</v>
      </c>
      <c r="D433" s="2" t="s">
        <v>372</v>
      </c>
      <c r="E433" s="2" t="s">
        <v>15</v>
      </c>
      <c r="F433" s="3">
        <v>0</v>
      </c>
      <c r="H433" s="1" t="s">
        <v>68</v>
      </c>
      <c r="J433" t="s">
        <v>271</v>
      </c>
      <c r="K433" t="s">
        <v>272</v>
      </c>
      <c r="L433" t="s">
        <v>273</v>
      </c>
    </row>
    <row r="434" spans="1:12" ht="15">
      <c r="A434" s="4">
        <v>201405</v>
      </c>
      <c r="B434" t="s">
        <v>270</v>
      </c>
      <c r="C434" s="5">
        <v>6494025</v>
      </c>
      <c r="D434" s="2" t="s">
        <v>372</v>
      </c>
      <c r="E434" s="2" t="s">
        <v>15</v>
      </c>
      <c r="F434" s="3">
        <v>6</v>
      </c>
      <c r="H434" s="1" t="s">
        <v>68</v>
      </c>
      <c r="J434" t="s">
        <v>271</v>
      </c>
      <c r="K434" t="s">
        <v>272</v>
      </c>
      <c r="L434" t="s">
        <v>273</v>
      </c>
    </row>
    <row r="435" spans="1:14" ht="15">
      <c r="A435" s="4">
        <v>201404</v>
      </c>
      <c r="B435" t="s">
        <v>270</v>
      </c>
      <c r="C435" s="5">
        <v>6494025</v>
      </c>
      <c r="D435" s="2" t="s">
        <v>372</v>
      </c>
      <c r="E435" s="2" t="s">
        <v>15</v>
      </c>
      <c r="F435" s="3">
        <v>0.74</v>
      </c>
      <c r="G435" t="s">
        <v>57</v>
      </c>
      <c r="H435" s="1" t="s">
        <v>69</v>
      </c>
      <c r="I435" t="e">
        <f>-16294/KY67758065/1</f>
        <v>#NAME?</v>
      </c>
      <c r="J435" t="s">
        <v>271</v>
      </c>
      <c r="K435" t="s">
        <v>272</v>
      </c>
      <c r="L435" t="s">
        <v>273</v>
      </c>
      <c r="N435" t="s">
        <v>58</v>
      </c>
    </row>
    <row r="436" spans="1:14" ht="15">
      <c r="A436" s="4">
        <v>201404</v>
      </c>
      <c r="B436" t="s">
        <v>270</v>
      </c>
      <c r="C436" s="5">
        <v>6494025</v>
      </c>
      <c r="D436" s="2" t="s">
        <v>372</v>
      </c>
      <c r="E436" s="2" t="s">
        <v>15</v>
      </c>
      <c r="F436" s="3">
        <v>0.85</v>
      </c>
      <c r="G436" t="s">
        <v>57</v>
      </c>
      <c r="H436" s="1" t="s">
        <v>69</v>
      </c>
      <c r="I436" t="e">
        <f>-16294/KY67758460/1</f>
        <v>#NAME?</v>
      </c>
      <c r="J436" t="s">
        <v>271</v>
      </c>
      <c r="K436" t="s">
        <v>272</v>
      </c>
      <c r="L436" t="s">
        <v>273</v>
      </c>
      <c r="N436" t="s">
        <v>58</v>
      </c>
    </row>
    <row r="437" spans="1:14" ht="15">
      <c r="A437" s="4">
        <v>201404</v>
      </c>
      <c r="B437" t="s">
        <v>270</v>
      </c>
      <c r="C437" s="5">
        <v>6494025</v>
      </c>
      <c r="D437" s="2" t="s">
        <v>372</v>
      </c>
      <c r="E437" s="2" t="s">
        <v>15</v>
      </c>
      <c r="F437" s="3">
        <v>1.03</v>
      </c>
      <c r="G437" t="s">
        <v>57</v>
      </c>
      <c r="H437" s="1" t="s">
        <v>69</v>
      </c>
      <c r="I437" t="e">
        <f>-16294/KY67758531/1</f>
        <v>#NAME?</v>
      </c>
      <c r="J437" t="s">
        <v>271</v>
      </c>
      <c r="K437" t="s">
        <v>272</v>
      </c>
      <c r="L437" t="s">
        <v>273</v>
      </c>
      <c r="N437" t="s">
        <v>58</v>
      </c>
    </row>
    <row r="438" spans="1:14" ht="15">
      <c r="A438" s="4">
        <v>201404</v>
      </c>
      <c r="B438" t="s">
        <v>270</v>
      </c>
      <c r="C438" s="5">
        <v>6494025</v>
      </c>
      <c r="D438" s="2" t="s">
        <v>372</v>
      </c>
      <c r="E438" s="2" t="s">
        <v>15</v>
      </c>
      <c r="F438" s="3">
        <v>2.67</v>
      </c>
      <c r="G438" t="s">
        <v>57</v>
      </c>
      <c r="H438" s="1" t="s">
        <v>69</v>
      </c>
      <c r="I438" t="e">
        <f>-16294/KY67758356/1</f>
        <v>#NAME?</v>
      </c>
      <c r="J438" t="s">
        <v>271</v>
      </c>
      <c r="K438" t="s">
        <v>272</v>
      </c>
      <c r="L438" t="s">
        <v>273</v>
      </c>
      <c r="N438" t="s">
        <v>58</v>
      </c>
    </row>
    <row r="439" spans="1:14" ht="15">
      <c r="A439" s="4">
        <v>201404</v>
      </c>
      <c r="B439" t="s">
        <v>270</v>
      </c>
      <c r="C439" s="5">
        <v>6494025</v>
      </c>
      <c r="D439" s="2" t="s">
        <v>372</v>
      </c>
      <c r="E439" s="2" t="s">
        <v>15</v>
      </c>
      <c r="F439" s="3">
        <v>12.06</v>
      </c>
      <c r="G439" t="s">
        <v>57</v>
      </c>
      <c r="H439" s="1" t="s">
        <v>69</v>
      </c>
      <c r="I439">
        <f>-55417/75228/1</f>
        <v>-0.7366539054607327</v>
      </c>
      <c r="J439" t="s">
        <v>271</v>
      </c>
      <c r="K439" t="s">
        <v>272</v>
      </c>
      <c r="L439" t="s">
        <v>273</v>
      </c>
      <c r="N439" t="s">
        <v>58</v>
      </c>
    </row>
    <row r="440" spans="1:12" ht="15">
      <c r="A440" s="4">
        <v>201404</v>
      </c>
      <c r="B440" t="s">
        <v>270</v>
      </c>
      <c r="C440" s="5">
        <v>6494025</v>
      </c>
      <c r="D440" s="2" t="s">
        <v>372</v>
      </c>
      <c r="E440" s="2" t="s">
        <v>15</v>
      </c>
      <c r="F440" s="3">
        <v>12.33</v>
      </c>
      <c r="G440" t="s">
        <v>96</v>
      </c>
      <c r="H440" s="1" t="s">
        <v>69</v>
      </c>
      <c r="I440" t="e">
        <f>-freight</f>
        <v>#NAME?</v>
      </c>
      <c r="J440" t="s">
        <v>271</v>
      </c>
      <c r="K440" t="s">
        <v>272</v>
      </c>
      <c r="L440" t="s">
        <v>273</v>
      </c>
    </row>
    <row r="441" spans="1:12" ht="15">
      <c r="A441" s="4">
        <v>201404</v>
      </c>
      <c r="B441" t="s">
        <v>270</v>
      </c>
      <c r="C441" s="5">
        <v>6494025</v>
      </c>
      <c r="D441" s="2" t="s">
        <v>372</v>
      </c>
      <c r="E441" s="2" t="s">
        <v>15</v>
      </c>
      <c r="F441" s="3">
        <v>14.23</v>
      </c>
      <c r="G441" t="s">
        <v>96</v>
      </c>
      <c r="H441" s="1" t="s">
        <v>69</v>
      </c>
      <c r="I441" t="e">
        <f>-freight</f>
        <v>#NAME?</v>
      </c>
      <c r="J441" t="s">
        <v>271</v>
      </c>
      <c r="K441" t="s">
        <v>272</v>
      </c>
      <c r="L441" t="s">
        <v>273</v>
      </c>
    </row>
    <row r="442" spans="1:12" ht="15">
      <c r="A442" s="4">
        <v>201404</v>
      </c>
      <c r="B442" t="s">
        <v>270</v>
      </c>
      <c r="C442" s="5">
        <v>6494025</v>
      </c>
      <c r="D442" s="2" t="s">
        <v>372</v>
      </c>
      <c r="E442" s="2" t="s">
        <v>15</v>
      </c>
      <c r="F442" s="3">
        <v>17.23</v>
      </c>
      <c r="G442" t="s">
        <v>96</v>
      </c>
      <c r="H442" s="1" t="s">
        <v>69</v>
      </c>
      <c r="I442" t="s">
        <v>112</v>
      </c>
      <c r="J442" t="s">
        <v>271</v>
      </c>
      <c r="K442" t="s">
        <v>272</v>
      </c>
      <c r="L442" t="s">
        <v>273</v>
      </c>
    </row>
    <row r="443" spans="1:12" ht="15">
      <c r="A443" s="4">
        <v>201404</v>
      </c>
      <c r="B443" t="s">
        <v>270</v>
      </c>
      <c r="C443" s="5">
        <v>6494025</v>
      </c>
      <c r="D443" s="2" t="s">
        <v>372</v>
      </c>
      <c r="E443" s="2" t="s">
        <v>15</v>
      </c>
      <c r="F443" s="3">
        <v>44.52</v>
      </c>
      <c r="G443" t="s">
        <v>96</v>
      </c>
      <c r="H443" s="1" t="s">
        <v>69</v>
      </c>
      <c r="I443" t="e">
        <f>-freight</f>
        <v>#NAME?</v>
      </c>
      <c r="J443" t="s">
        <v>271</v>
      </c>
      <c r="K443" t="s">
        <v>272</v>
      </c>
      <c r="L443" t="s">
        <v>273</v>
      </c>
    </row>
    <row r="444" spans="1:12" ht="15">
      <c r="A444" s="4">
        <v>201404</v>
      </c>
      <c r="B444" t="s">
        <v>270</v>
      </c>
      <c r="C444" s="5">
        <v>6494025</v>
      </c>
      <c r="D444" s="2" t="s">
        <v>372</v>
      </c>
      <c r="E444" s="2" t="s">
        <v>15</v>
      </c>
      <c r="F444" s="3">
        <v>201.05</v>
      </c>
      <c r="G444" t="s">
        <v>400</v>
      </c>
      <c r="H444" s="1" t="s">
        <v>69</v>
      </c>
      <c r="I444" t="e">
        <f>-freight</f>
        <v>#NAME?</v>
      </c>
      <c r="J444" t="s">
        <v>271</v>
      </c>
      <c r="K444" t="s">
        <v>272</v>
      </c>
      <c r="L444" t="s">
        <v>273</v>
      </c>
    </row>
    <row r="445" spans="1:12" ht="15">
      <c r="A445" s="4">
        <v>201402</v>
      </c>
      <c r="B445" t="s">
        <v>270</v>
      </c>
      <c r="C445" s="5">
        <v>6494158</v>
      </c>
      <c r="D445" s="2" t="s">
        <v>409</v>
      </c>
      <c r="E445" s="2" t="s">
        <v>15</v>
      </c>
      <c r="F445" s="3">
        <v>2.44</v>
      </c>
      <c r="H445" s="1" t="s">
        <v>66</v>
      </c>
      <c r="I445" t="s">
        <v>67</v>
      </c>
      <c r="J445" t="s">
        <v>271</v>
      </c>
      <c r="K445" t="s">
        <v>272</v>
      </c>
      <c r="L445" t="s">
        <v>273</v>
      </c>
    </row>
    <row r="446" spans="1:12" ht="15">
      <c r="A446" s="4">
        <v>201403</v>
      </c>
      <c r="B446" t="s">
        <v>270</v>
      </c>
      <c r="C446" s="5">
        <v>6494158</v>
      </c>
      <c r="D446" s="2" t="s">
        <v>409</v>
      </c>
      <c r="E446" s="2" t="s">
        <v>15</v>
      </c>
      <c r="F446" s="3">
        <v>0.86</v>
      </c>
      <c r="H446" s="1" t="s">
        <v>66</v>
      </c>
      <c r="I446" t="s">
        <v>67</v>
      </c>
      <c r="J446" t="s">
        <v>271</v>
      </c>
      <c r="K446" t="s">
        <v>272</v>
      </c>
      <c r="L446" t="s">
        <v>273</v>
      </c>
    </row>
    <row r="447" spans="1:12" ht="15">
      <c r="A447" s="4">
        <v>201405</v>
      </c>
      <c r="B447" t="s">
        <v>270</v>
      </c>
      <c r="C447" s="5">
        <v>6494158</v>
      </c>
      <c r="D447" s="2" t="s">
        <v>409</v>
      </c>
      <c r="E447" s="2" t="s">
        <v>15</v>
      </c>
      <c r="F447" s="3">
        <v>0.35</v>
      </c>
      <c r="H447" s="1" t="s">
        <v>66</v>
      </c>
      <c r="I447" t="s">
        <v>67</v>
      </c>
      <c r="J447" t="s">
        <v>271</v>
      </c>
      <c r="K447" t="s">
        <v>272</v>
      </c>
      <c r="L447" t="s">
        <v>273</v>
      </c>
    </row>
    <row r="448" spans="1:12" ht="15">
      <c r="A448" s="4">
        <v>201403</v>
      </c>
      <c r="B448" t="s">
        <v>270</v>
      </c>
      <c r="C448" s="5">
        <v>6495803</v>
      </c>
      <c r="D448" s="2" t="s">
        <v>410</v>
      </c>
      <c r="E448" s="2" t="s">
        <v>15</v>
      </c>
      <c r="F448" s="3">
        <v>14.5</v>
      </c>
      <c r="H448" s="1" t="s">
        <v>14</v>
      </c>
      <c r="I448" t="s">
        <v>335</v>
      </c>
      <c r="J448" t="s">
        <v>271</v>
      </c>
      <c r="K448" t="s">
        <v>272</v>
      </c>
      <c r="L448" t="s">
        <v>273</v>
      </c>
    </row>
    <row r="449" spans="1:12" ht="15">
      <c r="A449" s="4">
        <v>201403</v>
      </c>
      <c r="B449" t="s">
        <v>270</v>
      </c>
      <c r="C449" s="5">
        <v>6495803</v>
      </c>
      <c r="D449" s="2" t="s">
        <v>410</v>
      </c>
      <c r="E449" s="2" t="s">
        <v>15</v>
      </c>
      <c r="F449" s="3">
        <v>34.33</v>
      </c>
      <c r="H449" s="1" t="s">
        <v>14</v>
      </c>
      <c r="I449" t="s">
        <v>89</v>
      </c>
      <c r="J449" t="s">
        <v>271</v>
      </c>
      <c r="K449" t="s">
        <v>272</v>
      </c>
      <c r="L449" t="s">
        <v>273</v>
      </c>
    </row>
    <row r="450" spans="1:12" ht="15">
      <c r="A450" s="4">
        <v>201403</v>
      </c>
      <c r="B450" t="s">
        <v>270</v>
      </c>
      <c r="C450" s="5">
        <v>6495803</v>
      </c>
      <c r="D450" s="2" t="s">
        <v>410</v>
      </c>
      <c r="E450" s="2" t="s">
        <v>15</v>
      </c>
      <c r="F450" s="3">
        <v>38.75</v>
      </c>
      <c r="H450" s="1" t="s">
        <v>14</v>
      </c>
      <c r="I450" t="s">
        <v>36</v>
      </c>
      <c r="J450" t="s">
        <v>271</v>
      </c>
      <c r="K450" t="s">
        <v>272</v>
      </c>
      <c r="L450" t="s">
        <v>273</v>
      </c>
    </row>
    <row r="451" spans="1:12" ht="15">
      <c r="A451" s="4">
        <v>201403</v>
      </c>
      <c r="B451" t="s">
        <v>270</v>
      </c>
      <c r="C451" s="5">
        <v>6495803</v>
      </c>
      <c r="D451" s="2" t="s">
        <v>410</v>
      </c>
      <c r="E451" s="2" t="s">
        <v>15</v>
      </c>
      <c r="F451" s="3">
        <v>0.43</v>
      </c>
      <c r="H451" s="1" t="s">
        <v>66</v>
      </c>
      <c r="I451" t="s">
        <v>67</v>
      </c>
      <c r="J451" t="s">
        <v>271</v>
      </c>
      <c r="K451" t="s">
        <v>272</v>
      </c>
      <c r="L451" t="s">
        <v>273</v>
      </c>
    </row>
    <row r="452" spans="1:12" ht="15">
      <c r="A452" s="4">
        <v>201403</v>
      </c>
      <c r="B452" t="s">
        <v>270</v>
      </c>
      <c r="C452" s="5">
        <v>6495897</v>
      </c>
      <c r="D452" s="2" t="s">
        <v>411</v>
      </c>
      <c r="E452" s="2" t="s">
        <v>15</v>
      </c>
      <c r="F452" s="3">
        <v>0.21</v>
      </c>
      <c r="H452" s="1" t="s">
        <v>66</v>
      </c>
      <c r="I452" t="s">
        <v>67</v>
      </c>
      <c r="J452" t="s">
        <v>271</v>
      </c>
      <c r="K452" t="s">
        <v>272</v>
      </c>
      <c r="L452" t="s">
        <v>273</v>
      </c>
    </row>
    <row r="453" spans="1:13" ht="15">
      <c r="A453" s="4">
        <v>201405</v>
      </c>
      <c r="B453" t="s">
        <v>270</v>
      </c>
      <c r="C453" s="5">
        <v>6501870</v>
      </c>
      <c r="D453" s="2" t="s">
        <v>412</v>
      </c>
      <c r="E453" s="2" t="s">
        <v>15</v>
      </c>
      <c r="F453" s="3">
        <v>320.52</v>
      </c>
      <c r="G453" t="s">
        <v>73</v>
      </c>
      <c r="H453" s="1" t="s">
        <v>46</v>
      </c>
      <c r="I453" t="s">
        <v>74</v>
      </c>
      <c r="J453" t="s">
        <v>271</v>
      </c>
      <c r="K453" t="s">
        <v>272</v>
      </c>
      <c r="L453" t="s">
        <v>273</v>
      </c>
      <c r="M453">
        <v>905953</v>
      </c>
    </row>
    <row r="454" spans="1:13" ht="15">
      <c r="A454" s="4">
        <v>201405</v>
      </c>
      <c r="B454" t="s">
        <v>270</v>
      </c>
      <c r="C454" s="5">
        <v>6501870</v>
      </c>
      <c r="D454" s="2" t="s">
        <v>412</v>
      </c>
      <c r="E454" s="2" t="s">
        <v>15</v>
      </c>
      <c r="F454" s="3">
        <v>4800.34</v>
      </c>
      <c r="G454" t="s">
        <v>73</v>
      </c>
      <c r="H454" s="1" t="s">
        <v>46</v>
      </c>
      <c r="I454" t="s">
        <v>95</v>
      </c>
      <c r="J454" t="s">
        <v>271</v>
      </c>
      <c r="K454" t="s">
        <v>272</v>
      </c>
      <c r="L454" t="s">
        <v>273</v>
      </c>
      <c r="M454">
        <v>904872</v>
      </c>
    </row>
    <row r="455" spans="1:13" ht="15">
      <c r="A455" s="4">
        <v>201407</v>
      </c>
      <c r="B455" t="s">
        <v>270</v>
      </c>
      <c r="C455" s="5">
        <v>6501870</v>
      </c>
      <c r="D455" s="2" t="s">
        <v>412</v>
      </c>
      <c r="E455" s="2" t="s">
        <v>15</v>
      </c>
      <c r="F455" s="3">
        <v>102.78</v>
      </c>
      <c r="G455" t="s">
        <v>73</v>
      </c>
      <c r="H455" s="1" t="s">
        <v>46</v>
      </c>
      <c r="I455" t="s">
        <v>75</v>
      </c>
      <c r="J455" t="s">
        <v>271</v>
      </c>
      <c r="K455" t="s">
        <v>272</v>
      </c>
      <c r="L455" t="s">
        <v>273</v>
      </c>
      <c r="M455">
        <v>908282</v>
      </c>
    </row>
    <row r="456" spans="1:14" ht="15">
      <c r="A456" s="4">
        <v>201404</v>
      </c>
      <c r="B456" t="s">
        <v>270</v>
      </c>
      <c r="C456" s="5">
        <v>6501870</v>
      </c>
      <c r="D456" s="2" t="s">
        <v>412</v>
      </c>
      <c r="E456" s="2" t="s">
        <v>15</v>
      </c>
      <c r="F456" s="3">
        <v>48.72</v>
      </c>
      <c r="G456" t="s">
        <v>57</v>
      </c>
      <c r="H456" s="1" t="s">
        <v>60</v>
      </c>
      <c r="I456" t="e">
        <f>-16294/KY67758368/1</f>
        <v>#NAME?</v>
      </c>
      <c r="J456" t="s">
        <v>271</v>
      </c>
      <c r="K456" t="s">
        <v>272</v>
      </c>
      <c r="L456" t="s">
        <v>273</v>
      </c>
      <c r="N456" t="s">
        <v>58</v>
      </c>
    </row>
    <row r="457" spans="1:14" ht="15">
      <c r="A457" s="4">
        <v>201404</v>
      </c>
      <c r="B457" t="s">
        <v>270</v>
      </c>
      <c r="C457" s="5">
        <v>6501870</v>
      </c>
      <c r="D457" s="2" t="s">
        <v>412</v>
      </c>
      <c r="E457" s="2" t="s">
        <v>15</v>
      </c>
      <c r="F457" s="3">
        <v>49.63</v>
      </c>
      <c r="G457" t="s">
        <v>57</v>
      </c>
      <c r="H457" s="1" t="s">
        <v>60</v>
      </c>
      <c r="I457">
        <f>-70891/319729/1</f>
        <v>-0.22172214594234493</v>
      </c>
      <c r="J457" t="s">
        <v>271</v>
      </c>
      <c r="K457" t="s">
        <v>272</v>
      </c>
      <c r="L457" t="s">
        <v>273</v>
      </c>
      <c r="N457" t="s">
        <v>58</v>
      </c>
    </row>
    <row r="458" spans="1:13" ht="15">
      <c r="A458" s="4">
        <v>201404</v>
      </c>
      <c r="B458" t="s">
        <v>270</v>
      </c>
      <c r="C458" s="5">
        <v>6501870</v>
      </c>
      <c r="D458" s="2" t="s">
        <v>412</v>
      </c>
      <c r="E458" s="2" t="s">
        <v>15</v>
      </c>
      <c r="F458" s="3">
        <v>812</v>
      </c>
      <c r="G458" t="s">
        <v>96</v>
      </c>
      <c r="H458" s="1" t="s">
        <v>60</v>
      </c>
      <c r="I458" t="s">
        <v>413</v>
      </c>
      <c r="J458" t="s">
        <v>271</v>
      </c>
      <c r="K458" t="s">
        <v>272</v>
      </c>
      <c r="L458" t="s">
        <v>273</v>
      </c>
      <c r="M458">
        <v>902626</v>
      </c>
    </row>
    <row r="459" spans="1:13" ht="15">
      <c r="A459" s="4">
        <v>201404</v>
      </c>
      <c r="B459" t="s">
        <v>270</v>
      </c>
      <c r="C459" s="5">
        <v>6501870</v>
      </c>
      <c r="D459" s="2" t="s">
        <v>412</v>
      </c>
      <c r="E459" s="2" t="s">
        <v>15</v>
      </c>
      <c r="F459" s="3">
        <v>827.2</v>
      </c>
      <c r="G459" t="s">
        <v>81</v>
      </c>
      <c r="H459" s="1" t="s">
        <v>60</v>
      </c>
      <c r="I459" t="s">
        <v>414</v>
      </c>
      <c r="J459" t="s">
        <v>271</v>
      </c>
      <c r="K459" t="s">
        <v>272</v>
      </c>
      <c r="L459" t="s">
        <v>273</v>
      </c>
      <c r="M459">
        <v>902907</v>
      </c>
    </row>
    <row r="460" spans="1:14" ht="15">
      <c r="A460" s="4">
        <v>201404</v>
      </c>
      <c r="B460" t="s">
        <v>270</v>
      </c>
      <c r="C460" s="5">
        <v>6501870</v>
      </c>
      <c r="D460" s="2" t="s">
        <v>412</v>
      </c>
      <c r="E460" s="2" t="s">
        <v>15</v>
      </c>
      <c r="F460" s="3">
        <v>2250.93</v>
      </c>
      <c r="G460" t="s">
        <v>57</v>
      </c>
      <c r="H460" s="1" t="s">
        <v>60</v>
      </c>
      <c r="I460">
        <f>-60417/6614/1</f>
        <v>-9.134714242515875</v>
      </c>
      <c r="J460" t="s">
        <v>271</v>
      </c>
      <c r="K460" t="s">
        <v>272</v>
      </c>
      <c r="L460" t="s">
        <v>273</v>
      </c>
      <c r="N460" t="s">
        <v>58</v>
      </c>
    </row>
    <row r="461" spans="1:13" ht="15">
      <c r="A461" s="4">
        <v>201404</v>
      </c>
      <c r="B461" t="s">
        <v>270</v>
      </c>
      <c r="C461" s="5">
        <v>6501870</v>
      </c>
      <c r="D461" s="2" t="s">
        <v>412</v>
      </c>
      <c r="E461" s="2" t="s">
        <v>15</v>
      </c>
      <c r="F461" s="3">
        <v>37515.57</v>
      </c>
      <c r="G461" t="s">
        <v>415</v>
      </c>
      <c r="H461" s="1" t="s">
        <v>60</v>
      </c>
      <c r="I461" t="s">
        <v>416</v>
      </c>
      <c r="J461" t="s">
        <v>271</v>
      </c>
      <c r="K461" t="s">
        <v>272</v>
      </c>
      <c r="L461" t="s">
        <v>273</v>
      </c>
      <c r="M461">
        <v>902453</v>
      </c>
    </row>
    <row r="462" spans="1:13" ht="15">
      <c r="A462" s="4">
        <v>201405</v>
      </c>
      <c r="B462" t="s">
        <v>270</v>
      </c>
      <c r="C462" s="5">
        <v>6501870</v>
      </c>
      <c r="D462" s="2" t="s">
        <v>412</v>
      </c>
      <c r="E462" s="2" t="s">
        <v>15</v>
      </c>
      <c r="F462" s="3">
        <v>-8.12</v>
      </c>
      <c r="G462" t="s">
        <v>96</v>
      </c>
      <c r="H462" s="1" t="s">
        <v>60</v>
      </c>
      <c r="I462" t="s">
        <v>413</v>
      </c>
      <c r="J462" t="s">
        <v>271</v>
      </c>
      <c r="K462" t="s">
        <v>272</v>
      </c>
      <c r="L462" t="s">
        <v>273</v>
      </c>
      <c r="M462">
        <v>902626</v>
      </c>
    </row>
    <row r="463" spans="1:14" ht="15">
      <c r="A463" s="4">
        <v>201404</v>
      </c>
      <c r="B463" t="s">
        <v>270</v>
      </c>
      <c r="C463" s="5">
        <v>6501870</v>
      </c>
      <c r="D463" s="2" t="s">
        <v>412</v>
      </c>
      <c r="E463" s="2" t="s">
        <v>15</v>
      </c>
      <c r="F463" s="3">
        <v>4.7</v>
      </c>
      <c r="G463" t="s">
        <v>57</v>
      </c>
      <c r="H463" s="1" t="s">
        <v>69</v>
      </c>
      <c r="I463" t="e">
        <f>-16294/KY67758368/1</f>
        <v>#NAME?</v>
      </c>
      <c r="J463" t="s">
        <v>271</v>
      </c>
      <c r="K463" t="s">
        <v>272</v>
      </c>
      <c r="L463" t="s">
        <v>273</v>
      </c>
      <c r="N463" t="s">
        <v>58</v>
      </c>
    </row>
    <row r="464" spans="1:14" ht="15">
      <c r="A464" s="4">
        <v>201404</v>
      </c>
      <c r="B464" t="s">
        <v>270</v>
      </c>
      <c r="C464" s="5">
        <v>6501870</v>
      </c>
      <c r="D464" s="2" t="s">
        <v>412</v>
      </c>
      <c r="E464" s="2" t="s">
        <v>15</v>
      </c>
      <c r="F464" s="3">
        <v>7.08</v>
      </c>
      <c r="G464" t="s">
        <v>57</v>
      </c>
      <c r="H464" s="1" t="s">
        <v>69</v>
      </c>
      <c r="I464">
        <f>-70891/319729/1</f>
        <v>-0.22172214594234493</v>
      </c>
      <c r="J464" t="s">
        <v>271</v>
      </c>
      <c r="K464" t="s">
        <v>272</v>
      </c>
      <c r="L464" t="s">
        <v>273</v>
      </c>
      <c r="N464" t="s">
        <v>58</v>
      </c>
    </row>
    <row r="465" spans="1:12" ht="15">
      <c r="A465" s="4">
        <v>201404</v>
      </c>
      <c r="B465" t="s">
        <v>270</v>
      </c>
      <c r="C465" s="5">
        <v>6501870</v>
      </c>
      <c r="D465" s="2" t="s">
        <v>412</v>
      </c>
      <c r="E465" s="2" t="s">
        <v>15</v>
      </c>
      <c r="F465" s="3">
        <v>78.4</v>
      </c>
      <c r="G465" t="s">
        <v>96</v>
      </c>
      <c r="H465" s="1" t="s">
        <v>69</v>
      </c>
      <c r="I465" t="e">
        <f>-freight</f>
        <v>#NAME?</v>
      </c>
      <c r="J465" t="s">
        <v>271</v>
      </c>
      <c r="K465" t="s">
        <v>272</v>
      </c>
      <c r="L465" t="s">
        <v>273</v>
      </c>
    </row>
    <row r="466" spans="1:14" ht="15">
      <c r="A466" s="4">
        <v>201404</v>
      </c>
      <c r="B466" t="s">
        <v>270</v>
      </c>
      <c r="C466" s="5">
        <v>6501870</v>
      </c>
      <c r="D466" s="2" t="s">
        <v>412</v>
      </c>
      <c r="E466" s="2" t="s">
        <v>15</v>
      </c>
      <c r="F466" s="3">
        <v>85.26</v>
      </c>
      <c r="G466" t="s">
        <v>57</v>
      </c>
      <c r="H466" s="1" t="s">
        <v>69</v>
      </c>
      <c r="I466">
        <f>-60417/6614/1</f>
        <v>-9.134714242515875</v>
      </c>
      <c r="J466" t="s">
        <v>271</v>
      </c>
      <c r="K466" t="s">
        <v>272</v>
      </c>
      <c r="L466" t="s">
        <v>273</v>
      </c>
      <c r="N466" t="s">
        <v>58</v>
      </c>
    </row>
    <row r="467" spans="1:12" ht="15">
      <c r="A467" s="4">
        <v>201404</v>
      </c>
      <c r="B467" t="s">
        <v>270</v>
      </c>
      <c r="C467" s="5">
        <v>6501870</v>
      </c>
      <c r="D467" s="2" t="s">
        <v>412</v>
      </c>
      <c r="E467" s="2" t="s">
        <v>15</v>
      </c>
      <c r="F467" s="3">
        <v>117.94</v>
      </c>
      <c r="G467" t="s">
        <v>81</v>
      </c>
      <c r="H467" s="1" t="s">
        <v>69</v>
      </c>
      <c r="I467" t="e">
        <f>-freight</f>
        <v>#NAME?</v>
      </c>
      <c r="J467" t="s">
        <v>271</v>
      </c>
      <c r="K467" t="s">
        <v>272</v>
      </c>
      <c r="L467" t="s">
        <v>273</v>
      </c>
    </row>
    <row r="468" spans="1:12" ht="15">
      <c r="A468" s="4">
        <v>201404</v>
      </c>
      <c r="B468" t="s">
        <v>270</v>
      </c>
      <c r="C468" s="5">
        <v>6501870</v>
      </c>
      <c r="D468" s="2" t="s">
        <v>412</v>
      </c>
      <c r="E468" s="2" t="s">
        <v>15</v>
      </c>
      <c r="F468" s="3">
        <v>1420.97</v>
      </c>
      <c r="G468" t="s">
        <v>415</v>
      </c>
      <c r="H468" s="1" t="s">
        <v>69</v>
      </c>
      <c r="I468" t="e">
        <f>-freight</f>
        <v>#NAME?</v>
      </c>
      <c r="J468" t="s">
        <v>271</v>
      </c>
      <c r="K468" t="s">
        <v>272</v>
      </c>
      <c r="L468" t="s">
        <v>273</v>
      </c>
    </row>
    <row r="469" spans="1:12" ht="15">
      <c r="A469" s="4">
        <v>201403</v>
      </c>
      <c r="B469" t="s">
        <v>270</v>
      </c>
      <c r="C469" s="5">
        <v>6504192</v>
      </c>
      <c r="D469" s="2" t="s">
        <v>418</v>
      </c>
      <c r="E469" s="2" t="s">
        <v>15</v>
      </c>
      <c r="F469" s="3">
        <v>31.2</v>
      </c>
      <c r="H469" s="1" t="s">
        <v>14</v>
      </c>
      <c r="I469" t="s">
        <v>417</v>
      </c>
      <c r="J469" t="s">
        <v>271</v>
      </c>
      <c r="K469" t="s">
        <v>272</v>
      </c>
      <c r="L469" t="s">
        <v>273</v>
      </c>
    </row>
    <row r="470" spans="1:12" ht="15">
      <c r="A470" s="4">
        <v>201403</v>
      </c>
      <c r="B470" t="s">
        <v>270</v>
      </c>
      <c r="C470" s="5">
        <v>6504192</v>
      </c>
      <c r="D470" s="2" t="s">
        <v>418</v>
      </c>
      <c r="E470" s="2" t="s">
        <v>15</v>
      </c>
      <c r="F470" s="3">
        <v>44</v>
      </c>
      <c r="H470" s="1" t="s">
        <v>14</v>
      </c>
      <c r="I470" t="s">
        <v>419</v>
      </c>
      <c r="J470" t="s">
        <v>271</v>
      </c>
      <c r="K470" t="s">
        <v>272</v>
      </c>
      <c r="L470" t="s">
        <v>273</v>
      </c>
    </row>
    <row r="471" spans="1:12" ht="15">
      <c r="A471" s="4">
        <v>201403</v>
      </c>
      <c r="B471" t="s">
        <v>270</v>
      </c>
      <c r="C471" s="5">
        <v>6504192</v>
      </c>
      <c r="D471" s="2" t="s">
        <v>418</v>
      </c>
      <c r="E471" s="2" t="s">
        <v>15</v>
      </c>
      <c r="F471" s="3">
        <v>945</v>
      </c>
      <c r="H471" s="1" t="s">
        <v>14</v>
      </c>
      <c r="I471" t="s">
        <v>420</v>
      </c>
      <c r="J471" t="s">
        <v>271</v>
      </c>
      <c r="K471" t="s">
        <v>272</v>
      </c>
      <c r="L471" t="s">
        <v>273</v>
      </c>
    </row>
    <row r="472" spans="1:12" ht="15">
      <c r="A472" s="4">
        <v>201403</v>
      </c>
      <c r="B472" t="s">
        <v>270</v>
      </c>
      <c r="C472" s="5">
        <v>6504192</v>
      </c>
      <c r="D472" s="2" t="s">
        <v>418</v>
      </c>
      <c r="E472" s="2" t="s">
        <v>15</v>
      </c>
      <c r="F472" s="3">
        <v>996</v>
      </c>
      <c r="H472" s="1" t="s">
        <v>14</v>
      </c>
      <c r="I472" t="s">
        <v>421</v>
      </c>
      <c r="J472" t="s">
        <v>271</v>
      </c>
      <c r="K472" t="s">
        <v>272</v>
      </c>
      <c r="L472" t="s">
        <v>273</v>
      </c>
    </row>
    <row r="473" spans="1:12" ht="15">
      <c r="A473" s="4">
        <v>201403</v>
      </c>
      <c r="B473" t="s">
        <v>270</v>
      </c>
      <c r="C473" s="5">
        <v>6504192</v>
      </c>
      <c r="D473" s="2" t="s">
        <v>418</v>
      </c>
      <c r="E473" s="2" t="s">
        <v>15</v>
      </c>
      <c r="F473" s="3">
        <v>2385.6</v>
      </c>
      <c r="H473" s="1" t="s">
        <v>14</v>
      </c>
      <c r="I473" t="s">
        <v>422</v>
      </c>
      <c r="J473" t="s">
        <v>271</v>
      </c>
      <c r="K473" t="s">
        <v>272</v>
      </c>
      <c r="L473" t="s">
        <v>273</v>
      </c>
    </row>
    <row r="474" spans="1:12" ht="15">
      <c r="A474" s="4">
        <v>201404</v>
      </c>
      <c r="B474" t="s">
        <v>270</v>
      </c>
      <c r="C474" s="5">
        <v>6504192</v>
      </c>
      <c r="D474" s="2" t="s">
        <v>418</v>
      </c>
      <c r="E474" s="2" t="s">
        <v>15</v>
      </c>
      <c r="F474" s="3">
        <v>-2385.6</v>
      </c>
      <c r="H474" s="1" t="s">
        <v>43</v>
      </c>
      <c r="I474" t="s">
        <v>422</v>
      </c>
      <c r="J474" t="s">
        <v>271</v>
      </c>
      <c r="K474" t="s">
        <v>272</v>
      </c>
      <c r="L474" t="s">
        <v>273</v>
      </c>
    </row>
    <row r="475" spans="1:12" ht="15">
      <c r="A475" s="4">
        <v>201404</v>
      </c>
      <c r="B475" t="s">
        <v>270</v>
      </c>
      <c r="C475" s="5">
        <v>6504192</v>
      </c>
      <c r="D475" s="2" t="s">
        <v>418</v>
      </c>
      <c r="E475" s="2" t="s">
        <v>15</v>
      </c>
      <c r="F475" s="3">
        <v>-1500</v>
      </c>
      <c r="H475" s="1" t="s">
        <v>43</v>
      </c>
      <c r="I475" t="s">
        <v>420</v>
      </c>
      <c r="J475" t="s">
        <v>271</v>
      </c>
      <c r="K475" t="s">
        <v>272</v>
      </c>
      <c r="L475" t="s">
        <v>273</v>
      </c>
    </row>
    <row r="476" spans="1:12" ht="15">
      <c r="A476" s="4">
        <v>201404</v>
      </c>
      <c r="B476" t="s">
        <v>270</v>
      </c>
      <c r="C476" s="5">
        <v>6504192</v>
      </c>
      <c r="D476" s="2" t="s">
        <v>418</v>
      </c>
      <c r="E476" s="2" t="s">
        <v>15</v>
      </c>
      <c r="F476" s="3">
        <v>-976</v>
      </c>
      <c r="H476" s="1" t="s">
        <v>43</v>
      </c>
      <c r="I476" t="s">
        <v>421</v>
      </c>
      <c r="J476" t="s">
        <v>271</v>
      </c>
      <c r="K476" t="s">
        <v>272</v>
      </c>
      <c r="L476" t="s">
        <v>273</v>
      </c>
    </row>
    <row r="477" spans="1:12" ht="15">
      <c r="A477" s="4">
        <v>201404</v>
      </c>
      <c r="B477" t="s">
        <v>270</v>
      </c>
      <c r="C477" s="5">
        <v>6504192</v>
      </c>
      <c r="D477" s="2" t="s">
        <v>418</v>
      </c>
      <c r="E477" s="2" t="s">
        <v>15</v>
      </c>
      <c r="F477" s="3">
        <v>-788</v>
      </c>
      <c r="H477" s="1" t="s">
        <v>43</v>
      </c>
      <c r="I477" t="s">
        <v>423</v>
      </c>
      <c r="J477" t="s">
        <v>271</v>
      </c>
      <c r="K477" t="s">
        <v>272</v>
      </c>
      <c r="L477" t="s">
        <v>273</v>
      </c>
    </row>
    <row r="478" spans="1:12" ht="15">
      <c r="A478" s="4">
        <v>201404</v>
      </c>
      <c r="B478" t="s">
        <v>270</v>
      </c>
      <c r="C478" s="5">
        <v>6504192</v>
      </c>
      <c r="D478" s="2" t="s">
        <v>418</v>
      </c>
      <c r="E478" s="2" t="s">
        <v>15</v>
      </c>
      <c r="F478" s="3">
        <v>-30.25</v>
      </c>
      <c r="H478" s="1" t="s">
        <v>43</v>
      </c>
      <c r="I478" t="s">
        <v>419</v>
      </c>
      <c r="J478" t="s">
        <v>271</v>
      </c>
      <c r="K478" t="s">
        <v>272</v>
      </c>
      <c r="L478" t="s">
        <v>273</v>
      </c>
    </row>
    <row r="479" spans="1:13" ht="15">
      <c r="A479" s="4">
        <v>201403</v>
      </c>
      <c r="B479" t="s">
        <v>270</v>
      </c>
      <c r="C479" s="5">
        <v>6504192</v>
      </c>
      <c r="D479" s="2" t="s">
        <v>418</v>
      </c>
      <c r="E479" s="2" t="s">
        <v>15</v>
      </c>
      <c r="F479" s="3">
        <v>4507.6</v>
      </c>
      <c r="G479" t="s">
        <v>424</v>
      </c>
      <c r="H479" s="1" t="s">
        <v>44</v>
      </c>
      <c r="I479" t="e">
        <f>-labor&amp;EQUIP TO EXTEND TC2 GYP line at GYP STOR POND</f>
        <v>#NAME?</v>
      </c>
      <c r="J479" t="s">
        <v>271</v>
      </c>
      <c r="K479" t="s">
        <v>272</v>
      </c>
      <c r="L479" t="s">
        <v>273</v>
      </c>
      <c r="M479">
        <v>899860</v>
      </c>
    </row>
    <row r="480" spans="1:14" ht="15">
      <c r="A480" s="4">
        <v>201402</v>
      </c>
      <c r="B480" t="s">
        <v>270</v>
      </c>
      <c r="C480" s="5">
        <v>6504192</v>
      </c>
      <c r="D480" s="2" t="s">
        <v>418</v>
      </c>
      <c r="E480" s="2" t="s">
        <v>15</v>
      </c>
      <c r="F480" s="3">
        <v>22.6</v>
      </c>
      <c r="G480" t="s">
        <v>57</v>
      </c>
      <c r="H480" s="1" t="s">
        <v>60</v>
      </c>
      <c r="I480">
        <f>-14487/1036954/1</f>
        <v>-0.013970725798830035</v>
      </c>
      <c r="J480" t="s">
        <v>271</v>
      </c>
      <c r="K480" t="s">
        <v>272</v>
      </c>
      <c r="L480" t="s">
        <v>273</v>
      </c>
      <c r="N480" t="s">
        <v>58</v>
      </c>
    </row>
    <row r="481" spans="1:13" ht="15">
      <c r="A481" s="4">
        <v>201402</v>
      </c>
      <c r="B481" t="s">
        <v>270</v>
      </c>
      <c r="C481" s="5">
        <v>6504192</v>
      </c>
      <c r="D481" s="2" t="s">
        <v>418</v>
      </c>
      <c r="E481" s="2" t="s">
        <v>15</v>
      </c>
      <c r="F481" s="3">
        <v>376.62</v>
      </c>
      <c r="G481" t="s">
        <v>425</v>
      </c>
      <c r="H481" s="1" t="s">
        <v>60</v>
      </c>
      <c r="I481" t="s">
        <v>426</v>
      </c>
      <c r="J481" t="s">
        <v>271</v>
      </c>
      <c r="K481" t="s">
        <v>272</v>
      </c>
      <c r="L481" t="s">
        <v>273</v>
      </c>
      <c r="M481">
        <v>899815</v>
      </c>
    </row>
    <row r="482" spans="1:14" ht="15">
      <c r="A482" s="4">
        <v>201402</v>
      </c>
      <c r="B482" t="s">
        <v>270</v>
      </c>
      <c r="C482" s="5">
        <v>6504192</v>
      </c>
      <c r="D482" s="2" t="s">
        <v>418</v>
      </c>
      <c r="E482" s="2" t="s">
        <v>15</v>
      </c>
      <c r="F482" s="3">
        <v>6.19</v>
      </c>
      <c r="G482" t="s">
        <v>57</v>
      </c>
      <c r="H482" s="1" t="s">
        <v>69</v>
      </c>
      <c r="I482">
        <f>-14487/1036954/1</f>
        <v>-0.013970725798830035</v>
      </c>
      <c r="J482" t="s">
        <v>271</v>
      </c>
      <c r="K482" t="s">
        <v>272</v>
      </c>
      <c r="L482" t="s">
        <v>273</v>
      </c>
      <c r="N482" t="s">
        <v>58</v>
      </c>
    </row>
    <row r="483" spans="1:12" ht="15">
      <c r="A483" s="4">
        <v>201402</v>
      </c>
      <c r="B483" t="s">
        <v>270</v>
      </c>
      <c r="C483" s="5">
        <v>6504192</v>
      </c>
      <c r="D483" s="2" t="s">
        <v>418</v>
      </c>
      <c r="E483" s="2" t="s">
        <v>15</v>
      </c>
      <c r="F483" s="3">
        <v>103.23</v>
      </c>
      <c r="G483" t="s">
        <v>425</v>
      </c>
      <c r="H483" s="1" t="s">
        <v>69</v>
      </c>
      <c r="I483" t="e">
        <f>-freight</f>
        <v>#NAME?</v>
      </c>
      <c r="J483" t="s">
        <v>271</v>
      </c>
      <c r="K483" t="s">
        <v>272</v>
      </c>
      <c r="L483" t="s">
        <v>273</v>
      </c>
    </row>
    <row r="484" spans="1:12" ht="15">
      <c r="A484" s="4">
        <v>201403</v>
      </c>
      <c r="B484" t="s">
        <v>270</v>
      </c>
      <c r="C484" s="5">
        <v>6508200</v>
      </c>
      <c r="D484" s="2" t="s">
        <v>427</v>
      </c>
      <c r="E484" s="2" t="s">
        <v>15</v>
      </c>
      <c r="F484" s="3">
        <v>2.84</v>
      </c>
      <c r="H484" s="1" t="s">
        <v>66</v>
      </c>
      <c r="I484" t="s">
        <v>67</v>
      </c>
      <c r="J484" t="s">
        <v>271</v>
      </c>
      <c r="K484" t="s">
        <v>272</v>
      </c>
      <c r="L484" t="s">
        <v>273</v>
      </c>
    </row>
    <row r="485" spans="1:12" ht="15">
      <c r="A485" s="4">
        <v>201404</v>
      </c>
      <c r="B485" t="s">
        <v>270</v>
      </c>
      <c r="C485" s="5">
        <v>6508200</v>
      </c>
      <c r="D485" s="2" t="s">
        <v>427</v>
      </c>
      <c r="E485" s="2" t="s">
        <v>15</v>
      </c>
      <c r="F485" s="3">
        <v>1.3</v>
      </c>
      <c r="H485" s="1" t="s">
        <v>66</v>
      </c>
      <c r="I485" t="s">
        <v>67</v>
      </c>
      <c r="J485" t="s">
        <v>271</v>
      </c>
      <c r="K485" t="s">
        <v>272</v>
      </c>
      <c r="L485" t="s">
        <v>273</v>
      </c>
    </row>
    <row r="486" spans="1:12" ht="15">
      <c r="A486" s="4">
        <v>201403</v>
      </c>
      <c r="B486" t="s">
        <v>270</v>
      </c>
      <c r="C486" s="5">
        <v>6508200</v>
      </c>
      <c r="D486" s="2" t="s">
        <v>427</v>
      </c>
      <c r="E486" s="2" t="s">
        <v>15</v>
      </c>
      <c r="F486" s="3">
        <v>0</v>
      </c>
      <c r="H486" s="1" t="s">
        <v>68</v>
      </c>
      <c r="J486" t="s">
        <v>271</v>
      </c>
      <c r="K486" t="s">
        <v>272</v>
      </c>
      <c r="L486" t="s">
        <v>273</v>
      </c>
    </row>
    <row r="487" spans="1:12" ht="15">
      <c r="A487" s="4">
        <v>201403</v>
      </c>
      <c r="B487" t="s">
        <v>270</v>
      </c>
      <c r="C487" s="5">
        <v>6508200</v>
      </c>
      <c r="D487" s="2" t="s">
        <v>427</v>
      </c>
      <c r="E487" s="2" t="s">
        <v>15</v>
      </c>
      <c r="F487" s="3">
        <v>6</v>
      </c>
      <c r="H487" s="1" t="s">
        <v>68</v>
      </c>
      <c r="J487" t="s">
        <v>271</v>
      </c>
      <c r="K487" t="s">
        <v>272</v>
      </c>
      <c r="L487" t="s">
        <v>273</v>
      </c>
    </row>
    <row r="488" spans="1:12" ht="15">
      <c r="A488" s="4">
        <v>201404</v>
      </c>
      <c r="B488" t="s">
        <v>270</v>
      </c>
      <c r="C488" s="5">
        <v>6511593</v>
      </c>
      <c r="D488" s="2" t="s">
        <v>429</v>
      </c>
      <c r="E488" s="2" t="s">
        <v>15</v>
      </c>
      <c r="F488" s="3">
        <v>91.54</v>
      </c>
      <c r="H488" s="1" t="s">
        <v>14</v>
      </c>
      <c r="I488" t="s">
        <v>428</v>
      </c>
      <c r="J488" t="s">
        <v>271</v>
      </c>
      <c r="K488" t="s">
        <v>272</v>
      </c>
      <c r="L488" t="s">
        <v>273</v>
      </c>
    </row>
    <row r="489" spans="1:14" ht="15">
      <c r="A489" s="4">
        <v>201404</v>
      </c>
      <c r="B489" t="s">
        <v>270</v>
      </c>
      <c r="C489" s="5">
        <v>6511593</v>
      </c>
      <c r="D489" s="2" t="s">
        <v>429</v>
      </c>
      <c r="E489" s="2" t="s">
        <v>15</v>
      </c>
      <c r="F489" s="3">
        <v>3.38</v>
      </c>
      <c r="G489" t="s">
        <v>57</v>
      </c>
      <c r="H489" s="1" t="s">
        <v>60</v>
      </c>
      <c r="I489">
        <f>-71839/436632/1</f>
        <v>-0.16452985580534638</v>
      </c>
      <c r="J489" t="s">
        <v>271</v>
      </c>
      <c r="K489" t="s">
        <v>272</v>
      </c>
      <c r="L489" t="s">
        <v>273</v>
      </c>
      <c r="N489" t="s">
        <v>58</v>
      </c>
    </row>
    <row r="490" spans="1:14" ht="15">
      <c r="A490" s="4">
        <v>201404</v>
      </c>
      <c r="B490" t="s">
        <v>270</v>
      </c>
      <c r="C490" s="5">
        <v>6511593</v>
      </c>
      <c r="D490" s="2" t="s">
        <v>429</v>
      </c>
      <c r="E490" s="2" t="s">
        <v>15</v>
      </c>
      <c r="F490" s="3">
        <v>13.1</v>
      </c>
      <c r="G490" t="s">
        <v>57</v>
      </c>
      <c r="H490" s="1" t="s">
        <v>60</v>
      </c>
      <c r="I490">
        <f>-23426/3544716001/1</f>
        <v>-6.6087099765936936E-06</v>
      </c>
      <c r="J490" t="s">
        <v>271</v>
      </c>
      <c r="K490" t="s">
        <v>272</v>
      </c>
      <c r="L490" t="s">
        <v>273</v>
      </c>
      <c r="N490" t="s">
        <v>58</v>
      </c>
    </row>
    <row r="491" spans="1:13" ht="15">
      <c r="A491" s="4">
        <v>201404</v>
      </c>
      <c r="B491" t="s">
        <v>270</v>
      </c>
      <c r="C491" s="5">
        <v>6511593</v>
      </c>
      <c r="D491" s="2" t="s">
        <v>429</v>
      </c>
      <c r="E491" s="2" t="s">
        <v>15</v>
      </c>
      <c r="F491" s="3">
        <v>56.4</v>
      </c>
      <c r="G491" t="s">
        <v>97</v>
      </c>
      <c r="H491" s="1" t="s">
        <v>60</v>
      </c>
      <c r="I491" t="s">
        <v>430</v>
      </c>
      <c r="J491" t="s">
        <v>271</v>
      </c>
      <c r="K491" t="s">
        <v>272</v>
      </c>
      <c r="L491" t="s">
        <v>273</v>
      </c>
      <c r="M491">
        <v>904230</v>
      </c>
    </row>
    <row r="492" spans="1:13" ht="15">
      <c r="A492" s="4">
        <v>201404</v>
      </c>
      <c r="B492" t="s">
        <v>270</v>
      </c>
      <c r="C492" s="5">
        <v>6511593</v>
      </c>
      <c r="D492" s="2" t="s">
        <v>429</v>
      </c>
      <c r="E492" s="2" t="s">
        <v>15</v>
      </c>
      <c r="F492" s="3">
        <v>218.4</v>
      </c>
      <c r="G492" t="s">
        <v>76</v>
      </c>
      <c r="H492" s="1" t="s">
        <v>60</v>
      </c>
      <c r="I492" t="s">
        <v>431</v>
      </c>
      <c r="J492" t="s">
        <v>271</v>
      </c>
      <c r="K492" t="s">
        <v>272</v>
      </c>
      <c r="L492" t="s">
        <v>273</v>
      </c>
      <c r="M492">
        <v>903913</v>
      </c>
    </row>
    <row r="493" spans="1:14" ht="15">
      <c r="A493" s="4">
        <v>201405</v>
      </c>
      <c r="B493" t="s">
        <v>270</v>
      </c>
      <c r="C493" s="5">
        <v>6511593</v>
      </c>
      <c r="D493" s="2" t="s">
        <v>429</v>
      </c>
      <c r="E493" s="2" t="s">
        <v>15</v>
      </c>
      <c r="F493" s="3">
        <v>5.27</v>
      </c>
      <c r="G493" t="s">
        <v>57</v>
      </c>
      <c r="H493" s="1" t="s">
        <v>69</v>
      </c>
      <c r="I493">
        <f>-23426/3625471000/1</f>
        <v>-6.461505277521183E-06</v>
      </c>
      <c r="J493" t="s">
        <v>271</v>
      </c>
      <c r="K493" t="s">
        <v>272</v>
      </c>
      <c r="L493" t="s">
        <v>273</v>
      </c>
      <c r="N493" t="s">
        <v>58</v>
      </c>
    </row>
    <row r="494" spans="1:14" ht="15">
      <c r="A494" s="4">
        <v>201405</v>
      </c>
      <c r="B494" t="s">
        <v>270</v>
      </c>
      <c r="C494" s="5">
        <v>6511593</v>
      </c>
      <c r="D494" s="2" t="s">
        <v>429</v>
      </c>
      <c r="E494" s="2" t="s">
        <v>15</v>
      </c>
      <c r="F494" s="3">
        <v>87.78</v>
      </c>
      <c r="G494" t="s">
        <v>76</v>
      </c>
      <c r="H494" s="1" t="s">
        <v>69</v>
      </c>
      <c r="I494" t="s">
        <v>432</v>
      </c>
      <c r="J494" t="s">
        <v>271</v>
      </c>
      <c r="K494" t="s">
        <v>272</v>
      </c>
      <c r="L494" t="s">
        <v>273</v>
      </c>
      <c r="N494" t="s">
        <v>433</v>
      </c>
    </row>
    <row r="495" spans="1:12" ht="15">
      <c r="A495" s="4">
        <v>201405</v>
      </c>
      <c r="B495" t="s">
        <v>270</v>
      </c>
      <c r="C495" s="5">
        <v>6511668</v>
      </c>
      <c r="D495" s="2" t="s">
        <v>434</v>
      </c>
      <c r="E495" s="2" t="s">
        <v>15</v>
      </c>
      <c r="F495" s="3">
        <v>1.14</v>
      </c>
      <c r="H495" s="1" t="s">
        <v>66</v>
      </c>
      <c r="I495" t="s">
        <v>67</v>
      </c>
      <c r="J495" t="s">
        <v>271</v>
      </c>
      <c r="K495" t="s">
        <v>272</v>
      </c>
      <c r="L495" t="s">
        <v>273</v>
      </c>
    </row>
    <row r="496" spans="1:12" ht="15">
      <c r="A496" s="4">
        <v>201403</v>
      </c>
      <c r="B496" t="s">
        <v>270</v>
      </c>
      <c r="C496" s="5">
        <v>6514209</v>
      </c>
      <c r="D496" s="2" t="s">
        <v>435</v>
      </c>
      <c r="E496" s="2" t="s">
        <v>15</v>
      </c>
      <c r="F496" s="3">
        <v>5.53</v>
      </c>
      <c r="H496" s="1" t="s">
        <v>14</v>
      </c>
      <c r="I496" t="s">
        <v>31</v>
      </c>
      <c r="J496" t="s">
        <v>271</v>
      </c>
      <c r="K496" t="s">
        <v>272</v>
      </c>
      <c r="L496" t="s">
        <v>273</v>
      </c>
    </row>
    <row r="497" spans="1:12" ht="15">
      <c r="A497" s="4">
        <v>201403</v>
      </c>
      <c r="B497" t="s">
        <v>270</v>
      </c>
      <c r="C497" s="5">
        <v>6514209</v>
      </c>
      <c r="D497" s="2" t="s">
        <v>435</v>
      </c>
      <c r="E497" s="2" t="s">
        <v>15</v>
      </c>
      <c r="F497" s="3">
        <v>5.75</v>
      </c>
      <c r="H497" s="1" t="s">
        <v>14</v>
      </c>
      <c r="I497" t="s">
        <v>436</v>
      </c>
      <c r="J497" t="s">
        <v>271</v>
      </c>
      <c r="K497" t="s">
        <v>272</v>
      </c>
      <c r="L497" t="s">
        <v>273</v>
      </c>
    </row>
    <row r="498" spans="1:12" ht="15">
      <c r="A498" s="4">
        <v>201403</v>
      </c>
      <c r="B498" t="s">
        <v>270</v>
      </c>
      <c r="C498" s="5">
        <v>6514209</v>
      </c>
      <c r="D498" s="2" t="s">
        <v>435</v>
      </c>
      <c r="E498" s="2" t="s">
        <v>15</v>
      </c>
      <c r="F498" s="3">
        <v>7.1</v>
      </c>
      <c r="H498" s="1" t="s">
        <v>14</v>
      </c>
      <c r="I498" t="s">
        <v>437</v>
      </c>
      <c r="J498" t="s">
        <v>271</v>
      </c>
      <c r="K498" t="s">
        <v>272</v>
      </c>
      <c r="L498" t="s">
        <v>273</v>
      </c>
    </row>
    <row r="499" spans="1:12" ht="15">
      <c r="A499" s="4">
        <v>201403</v>
      </c>
      <c r="B499" t="s">
        <v>270</v>
      </c>
      <c r="C499" s="5">
        <v>6514209</v>
      </c>
      <c r="D499" s="2" t="s">
        <v>435</v>
      </c>
      <c r="E499" s="2" t="s">
        <v>15</v>
      </c>
      <c r="F499" s="3">
        <v>7.64</v>
      </c>
      <c r="H499" s="1" t="s">
        <v>14</v>
      </c>
      <c r="I499" t="s">
        <v>438</v>
      </c>
      <c r="J499" t="s">
        <v>271</v>
      </c>
      <c r="K499" t="s">
        <v>272</v>
      </c>
      <c r="L499" t="s">
        <v>273</v>
      </c>
    </row>
    <row r="500" spans="1:12" ht="15">
      <c r="A500" s="4">
        <v>201403</v>
      </c>
      <c r="B500" t="s">
        <v>270</v>
      </c>
      <c r="C500" s="5">
        <v>6514209</v>
      </c>
      <c r="D500" s="2" t="s">
        <v>435</v>
      </c>
      <c r="E500" s="2" t="s">
        <v>15</v>
      </c>
      <c r="F500" s="3">
        <v>9.86</v>
      </c>
      <c r="H500" s="1" t="s">
        <v>14</v>
      </c>
      <c r="I500" t="s">
        <v>439</v>
      </c>
      <c r="J500" t="s">
        <v>271</v>
      </c>
      <c r="K500" t="s">
        <v>272</v>
      </c>
      <c r="L500" t="s">
        <v>273</v>
      </c>
    </row>
    <row r="501" spans="1:12" ht="15">
      <c r="A501" s="4">
        <v>201403</v>
      </c>
      <c r="B501" t="s">
        <v>270</v>
      </c>
      <c r="C501" s="5">
        <v>6514209</v>
      </c>
      <c r="D501" s="2" t="s">
        <v>435</v>
      </c>
      <c r="E501" s="2" t="s">
        <v>15</v>
      </c>
      <c r="F501" s="3">
        <v>10.38</v>
      </c>
      <c r="H501" s="1" t="s">
        <v>14</v>
      </c>
      <c r="I501" t="s">
        <v>319</v>
      </c>
      <c r="J501" t="s">
        <v>271</v>
      </c>
      <c r="K501" t="s">
        <v>272</v>
      </c>
      <c r="L501" t="s">
        <v>273</v>
      </c>
    </row>
    <row r="502" spans="1:12" ht="15">
      <c r="A502" s="4">
        <v>201403</v>
      </c>
      <c r="B502" t="s">
        <v>270</v>
      </c>
      <c r="C502" s="5">
        <v>6514209</v>
      </c>
      <c r="D502" s="2" t="s">
        <v>435</v>
      </c>
      <c r="E502" s="2" t="s">
        <v>15</v>
      </c>
      <c r="F502" s="3">
        <v>11.56</v>
      </c>
      <c r="H502" s="1" t="s">
        <v>14</v>
      </c>
      <c r="I502" t="s">
        <v>338</v>
      </c>
      <c r="J502" t="s">
        <v>271</v>
      </c>
      <c r="K502" t="s">
        <v>272</v>
      </c>
      <c r="L502" t="s">
        <v>273</v>
      </c>
    </row>
    <row r="503" spans="1:12" ht="15">
      <c r="A503" s="4">
        <v>201403</v>
      </c>
      <c r="B503" t="s">
        <v>270</v>
      </c>
      <c r="C503" s="5">
        <v>6514209</v>
      </c>
      <c r="D503" s="2" t="s">
        <v>435</v>
      </c>
      <c r="E503" s="2" t="s">
        <v>15</v>
      </c>
      <c r="F503" s="3">
        <v>13.1</v>
      </c>
      <c r="H503" s="1" t="s">
        <v>14</v>
      </c>
      <c r="I503" t="s">
        <v>160</v>
      </c>
      <c r="J503" t="s">
        <v>271</v>
      </c>
      <c r="K503" t="s">
        <v>272</v>
      </c>
      <c r="L503" t="s">
        <v>273</v>
      </c>
    </row>
    <row r="504" spans="1:12" ht="15">
      <c r="A504" s="4">
        <v>201403</v>
      </c>
      <c r="B504" t="s">
        <v>270</v>
      </c>
      <c r="C504" s="5">
        <v>6514209</v>
      </c>
      <c r="D504" s="2" t="s">
        <v>435</v>
      </c>
      <c r="E504" s="2" t="s">
        <v>15</v>
      </c>
      <c r="F504" s="3">
        <v>15.31</v>
      </c>
      <c r="H504" s="1" t="s">
        <v>14</v>
      </c>
      <c r="I504" t="s">
        <v>440</v>
      </c>
      <c r="J504" t="s">
        <v>271</v>
      </c>
      <c r="K504" t="s">
        <v>272</v>
      </c>
      <c r="L504" t="s">
        <v>273</v>
      </c>
    </row>
    <row r="505" spans="1:12" ht="15">
      <c r="A505" s="4">
        <v>201403</v>
      </c>
      <c r="B505" t="s">
        <v>270</v>
      </c>
      <c r="C505" s="5">
        <v>6514209</v>
      </c>
      <c r="D505" s="2" t="s">
        <v>435</v>
      </c>
      <c r="E505" s="2" t="s">
        <v>15</v>
      </c>
      <c r="F505" s="3">
        <v>16.67</v>
      </c>
      <c r="H505" s="1" t="s">
        <v>14</v>
      </c>
      <c r="I505" t="s">
        <v>310</v>
      </c>
      <c r="J505" t="s">
        <v>271</v>
      </c>
      <c r="K505" t="s">
        <v>272</v>
      </c>
      <c r="L505" t="s">
        <v>273</v>
      </c>
    </row>
    <row r="506" spans="1:12" ht="15">
      <c r="A506" s="4">
        <v>201403</v>
      </c>
      <c r="B506" t="s">
        <v>270</v>
      </c>
      <c r="C506" s="5">
        <v>6514209</v>
      </c>
      <c r="D506" s="2" t="s">
        <v>435</v>
      </c>
      <c r="E506" s="2" t="s">
        <v>15</v>
      </c>
      <c r="F506" s="3">
        <v>21</v>
      </c>
      <c r="H506" s="1" t="s">
        <v>14</v>
      </c>
      <c r="I506" t="s">
        <v>151</v>
      </c>
      <c r="J506" t="s">
        <v>271</v>
      </c>
      <c r="K506" t="s">
        <v>272</v>
      </c>
      <c r="L506" t="s">
        <v>273</v>
      </c>
    </row>
    <row r="507" spans="1:12" ht="15">
      <c r="A507" s="4">
        <v>201403</v>
      </c>
      <c r="B507" t="s">
        <v>270</v>
      </c>
      <c r="C507" s="5">
        <v>6514209</v>
      </c>
      <c r="D507" s="2" t="s">
        <v>435</v>
      </c>
      <c r="E507" s="2" t="s">
        <v>15</v>
      </c>
      <c r="F507" s="3">
        <v>89.28</v>
      </c>
      <c r="H507" s="1" t="s">
        <v>14</v>
      </c>
      <c r="I507" t="s">
        <v>441</v>
      </c>
      <c r="J507" t="s">
        <v>271</v>
      </c>
      <c r="K507" t="s">
        <v>272</v>
      </c>
      <c r="L507" t="s">
        <v>273</v>
      </c>
    </row>
    <row r="508" spans="1:12" ht="15">
      <c r="A508" s="4">
        <v>201403</v>
      </c>
      <c r="B508" t="s">
        <v>270</v>
      </c>
      <c r="C508" s="5">
        <v>6514209</v>
      </c>
      <c r="D508" s="2" t="s">
        <v>435</v>
      </c>
      <c r="E508" s="2" t="s">
        <v>15</v>
      </c>
      <c r="F508" s="3">
        <v>94.5</v>
      </c>
      <c r="H508" s="1" t="s">
        <v>14</v>
      </c>
      <c r="I508" t="s">
        <v>442</v>
      </c>
      <c r="J508" t="s">
        <v>271</v>
      </c>
      <c r="K508" t="s">
        <v>272</v>
      </c>
      <c r="L508" t="s">
        <v>273</v>
      </c>
    </row>
    <row r="509" spans="1:12" ht="15">
      <c r="A509" s="4">
        <v>201403</v>
      </c>
      <c r="B509" t="s">
        <v>270</v>
      </c>
      <c r="C509" s="5">
        <v>6514209</v>
      </c>
      <c r="D509" s="2" t="s">
        <v>435</v>
      </c>
      <c r="E509" s="2" t="s">
        <v>15</v>
      </c>
      <c r="F509" s="3">
        <v>189.04</v>
      </c>
      <c r="H509" s="1" t="s">
        <v>14</v>
      </c>
      <c r="I509" t="s">
        <v>443</v>
      </c>
      <c r="J509" t="s">
        <v>271</v>
      </c>
      <c r="K509" t="s">
        <v>272</v>
      </c>
      <c r="L509" t="s">
        <v>273</v>
      </c>
    </row>
    <row r="510" spans="1:12" ht="15">
      <c r="A510" s="4">
        <v>201403</v>
      </c>
      <c r="B510" t="s">
        <v>270</v>
      </c>
      <c r="C510" s="5">
        <v>6514209</v>
      </c>
      <c r="D510" s="2" t="s">
        <v>435</v>
      </c>
      <c r="E510" s="2" t="s">
        <v>15</v>
      </c>
      <c r="F510" s="3">
        <v>1.82</v>
      </c>
      <c r="H510" s="1" t="s">
        <v>66</v>
      </c>
      <c r="I510" t="s">
        <v>67</v>
      </c>
      <c r="J510" t="s">
        <v>271</v>
      </c>
      <c r="K510" t="s">
        <v>272</v>
      </c>
      <c r="L510" t="s">
        <v>273</v>
      </c>
    </row>
    <row r="511" spans="1:12" ht="15">
      <c r="A511" s="4">
        <v>201403</v>
      </c>
      <c r="B511" t="s">
        <v>270</v>
      </c>
      <c r="C511" s="5">
        <v>6514209</v>
      </c>
      <c r="D511" s="2" t="s">
        <v>435</v>
      </c>
      <c r="E511" s="2" t="s">
        <v>15</v>
      </c>
      <c r="F511" s="3">
        <v>0</v>
      </c>
      <c r="H511" s="1" t="s">
        <v>68</v>
      </c>
      <c r="J511" t="s">
        <v>271</v>
      </c>
      <c r="K511" t="s">
        <v>272</v>
      </c>
      <c r="L511" t="s">
        <v>273</v>
      </c>
    </row>
    <row r="512" spans="1:12" ht="15">
      <c r="A512" s="4">
        <v>201403</v>
      </c>
      <c r="B512" t="s">
        <v>270</v>
      </c>
      <c r="C512" s="5">
        <v>6514209</v>
      </c>
      <c r="D512" s="2" t="s">
        <v>435</v>
      </c>
      <c r="E512" s="2" t="s">
        <v>15</v>
      </c>
      <c r="F512" s="3">
        <v>6</v>
      </c>
      <c r="H512" s="1" t="s">
        <v>68</v>
      </c>
      <c r="J512" t="s">
        <v>271</v>
      </c>
      <c r="K512" t="s">
        <v>272</v>
      </c>
      <c r="L512" t="s">
        <v>273</v>
      </c>
    </row>
    <row r="513" spans="1:12" ht="15">
      <c r="A513" s="4">
        <v>201402</v>
      </c>
      <c r="B513" t="s">
        <v>270</v>
      </c>
      <c r="C513" s="5">
        <v>6520711</v>
      </c>
      <c r="D513" s="2" t="s">
        <v>444</v>
      </c>
      <c r="E513" s="2" t="s">
        <v>15</v>
      </c>
      <c r="F513" s="3">
        <v>0.15</v>
      </c>
      <c r="H513" s="1" t="s">
        <v>66</v>
      </c>
      <c r="I513" t="s">
        <v>67</v>
      </c>
      <c r="J513" t="s">
        <v>271</v>
      </c>
      <c r="K513" t="s">
        <v>272</v>
      </c>
      <c r="L513" t="s">
        <v>273</v>
      </c>
    </row>
    <row r="514" spans="1:12" ht="15">
      <c r="A514" s="4">
        <v>201403</v>
      </c>
      <c r="B514" t="s">
        <v>270</v>
      </c>
      <c r="C514" s="5">
        <v>6520711</v>
      </c>
      <c r="D514" s="2" t="s">
        <v>444</v>
      </c>
      <c r="E514" s="2" t="s">
        <v>15</v>
      </c>
      <c r="F514" s="3">
        <v>2.41</v>
      </c>
      <c r="H514" s="1" t="s">
        <v>66</v>
      </c>
      <c r="I514" t="s">
        <v>67</v>
      </c>
      <c r="J514" t="s">
        <v>271</v>
      </c>
      <c r="K514" t="s">
        <v>272</v>
      </c>
      <c r="L514" t="s">
        <v>273</v>
      </c>
    </row>
    <row r="515" spans="1:13" ht="15">
      <c r="A515" s="4">
        <v>201403</v>
      </c>
      <c r="B515" t="s">
        <v>270</v>
      </c>
      <c r="C515" s="5">
        <v>6521228</v>
      </c>
      <c r="D515" s="2" t="s">
        <v>445</v>
      </c>
      <c r="E515" s="2" t="s">
        <v>15</v>
      </c>
      <c r="F515" s="3">
        <v>28500</v>
      </c>
      <c r="G515" t="s">
        <v>49</v>
      </c>
      <c r="H515" s="1" t="s">
        <v>44</v>
      </c>
      <c r="I515" t="e">
        <f>-Install platforms at INSPECTION doors on TC2</f>
        <v>#NAME?</v>
      </c>
      <c r="J515" t="s">
        <v>271</v>
      </c>
      <c r="K515" t="s">
        <v>272</v>
      </c>
      <c r="L515" t="s">
        <v>273</v>
      </c>
      <c r="M515">
        <v>899338</v>
      </c>
    </row>
    <row r="516" spans="1:13" ht="15">
      <c r="A516" s="4">
        <v>201403</v>
      </c>
      <c r="B516" t="s">
        <v>270</v>
      </c>
      <c r="C516" s="5">
        <v>6521228</v>
      </c>
      <c r="D516" s="2" t="s">
        <v>445</v>
      </c>
      <c r="E516" s="2" t="s">
        <v>15</v>
      </c>
      <c r="F516" s="3">
        <v>1861.6</v>
      </c>
      <c r="G516" t="s">
        <v>73</v>
      </c>
      <c r="H516" s="1" t="s">
        <v>46</v>
      </c>
      <c r="I516" t="s">
        <v>94</v>
      </c>
      <c r="J516" t="s">
        <v>271</v>
      </c>
      <c r="K516" t="s">
        <v>272</v>
      </c>
      <c r="L516" t="s">
        <v>273</v>
      </c>
      <c r="M516">
        <v>902317</v>
      </c>
    </row>
    <row r="517" spans="1:13" ht="15">
      <c r="A517" s="4">
        <v>201405</v>
      </c>
      <c r="B517" t="s">
        <v>270</v>
      </c>
      <c r="C517" s="5">
        <v>6521228</v>
      </c>
      <c r="D517" s="2" t="s">
        <v>445</v>
      </c>
      <c r="E517" s="2" t="s">
        <v>15</v>
      </c>
      <c r="F517" s="3">
        <v>9547.59</v>
      </c>
      <c r="G517" t="s">
        <v>73</v>
      </c>
      <c r="H517" s="1" t="s">
        <v>46</v>
      </c>
      <c r="I517" t="s">
        <v>74</v>
      </c>
      <c r="J517" t="s">
        <v>271</v>
      </c>
      <c r="K517" t="s">
        <v>272</v>
      </c>
      <c r="L517" t="s">
        <v>273</v>
      </c>
      <c r="M517">
        <v>905953</v>
      </c>
    </row>
    <row r="518" spans="1:13" ht="15">
      <c r="A518" s="4">
        <v>201405</v>
      </c>
      <c r="B518" t="s">
        <v>270</v>
      </c>
      <c r="C518" s="5">
        <v>6521228</v>
      </c>
      <c r="D518" s="2" t="s">
        <v>445</v>
      </c>
      <c r="E518" s="2" t="s">
        <v>15</v>
      </c>
      <c r="F518" s="3">
        <v>13215.25</v>
      </c>
      <c r="G518" t="s">
        <v>73</v>
      </c>
      <c r="H518" s="1" t="s">
        <v>46</v>
      </c>
      <c r="I518" t="s">
        <v>95</v>
      </c>
      <c r="J518" t="s">
        <v>271</v>
      </c>
      <c r="K518" t="s">
        <v>272</v>
      </c>
      <c r="L518" t="s">
        <v>273</v>
      </c>
      <c r="M518">
        <v>904872</v>
      </c>
    </row>
    <row r="519" spans="1:13" ht="15">
      <c r="A519" s="4">
        <v>201407</v>
      </c>
      <c r="B519" t="s">
        <v>270</v>
      </c>
      <c r="C519" s="5">
        <v>6521228</v>
      </c>
      <c r="D519" s="2" t="s">
        <v>445</v>
      </c>
      <c r="E519" s="2" t="s">
        <v>15</v>
      </c>
      <c r="F519" s="3">
        <v>23.74</v>
      </c>
      <c r="G519" t="s">
        <v>73</v>
      </c>
      <c r="H519" s="1" t="s">
        <v>46</v>
      </c>
      <c r="I519" t="s">
        <v>75</v>
      </c>
      <c r="J519" t="s">
        <v>271</v>
      </c>
      <c r="K519" t="s">
        <v>272</v>
      </c>
      <c r="L519" t="s">
        <v>273</v>
      </c>
      <c r="M519">
        <v>908282</v>
      </c>
    </row>
    <row r="520" spans="1:14" ht="15">
      <c r="A520" s="4">
        <v>201403</v>
      </c>
      <c r="B520" t="s">
        <v>270</v>
      </c>
      <c r="C520" s="5">
        <v>6521228</v>
      </c>
      <c r="D520" s="2" t="s">
        <v>445</v>
      </c>
      <c r="E520" s="2" t="s">
        <v>15</v>
      </c>
      <c r="F520" s="3">
        <v>100.44</v>
      </c>
      <c r="G520" t="s">
        <v>57</v>
      </c>
      <c r="H520" s="1" t="s">
        <v>60</v>
      </c>
      <c r="I520">
        <f>-53919/95079413/1</f>
        <v>-0.0005670943719435879</v>
      </c>
      <c r="J520" t="s">
        <v>271</v>
      </c>
      <c r="K520" t="s">
        <v>272</v>
      </c>
      <c r="L520" t="s">
        <v>273</v>
      </c>
      <c r="N520" t="s">
        <v>58</v>
      </c>
    </row>
    <row r="521" spans="1:13" ht="15">
      <c r="A521" s="4">
        <v>201403</v>
      </c>
      <c r="B521" t="s">
        <v>270</v>
      </c>
      <c r="C521" s="5">
        <v>6521228</v>
      </c>
      <c r="D521" s="2" t="s">
        <v>445</v>
      </c>
      <c r="E521" s="2" t="s">
        <v>15</v>
      </c>
      <c r="F521" s="3">
        <v>1674</v>
      </c>
      <c r="G521" t="s">
        <v>446</v>
      </c>
      <c r="H521" s="1" t="s">
        <v>60</v>
      </c>
      <c r="I521" t="s">
        <v>447</v>
      </c>
      <c r="J521" t="s">
        <v>271</v>
      </c>
      <c r="K521" t="s">
        <v>272</v>
      </c>
      <c r="L521" t="s">
        <v>273</v>
      </c>
      <c r="M521">
        <v>900379</v>
      </c>
    </row>
    <row r="522" spans="1:14" ht="15">
      <c r="A522" s="4">
        <v>201404</v>
      </c>
      <c r="B522" t="s">
        <v>270</v>
      </c>
      <c r="C522" s="5">
        <v>6521228</v>
      </c>
      <c r="D522" s="2" t="s">
        <v>445</v>
      </c>
      <c r="E522" s="2" t="s">
        <v>15</v>
      </c>
      <c r="F522" s="3">
        <v>7728.96</v>
      </c>
      <c r="G522" t="s">
        <v>57</v>
      </c>
      <c r="H522" s="1" t="s">
        <v>60</v>
      </c>
      <c r="I522">
        <f>-11180/609810/1</f>
        <v>-0.018333579311588855</v>
      </c>
      <c r="J522" t="s">
        <v>271</v>
      </c>
      <c r="K522" t="s">
        <v>272</v>
      </c>
      <c r="L522" t="s">
        <v>273</v>
      </c>
      <c r="N522" t="s">
        <v>58</v>
      </c>
    </row>
    <row r="523" spans="1:13" ht="15">
      <c r="A523" s="4">
        <v>201404</v>
      </c>
      <c r="B523" t="s">
        <v>270</v>
      </c>
      <c r="C523" s="5">
        <v>6521228</v>
      </c>
      <c r="D523" s="2" t="s">
        <v>445</v>
      </c>
      <c r="E523" s="2" t="s">
        <v>15</v>
      </c>
      <c r="F523" s="3">
        <v>128816</v>
      </c>
      <c r="G523" t="s">
        <v>448</v>
      </c>
      <c r="H523" s="1" t="s">
        <v>60</v>
      </c>
      <c r="I523" t="s">
        <v>449</v>
      </c>
      <c r="J523" t="s">
        <v>271</v>
      </c>
      <c r="K523" t="s">
        <v>272</v>
      </c>
      <c r="L523" t="s">
        <v>273</v>
      </c>
      <c r="M523">
        <v>895465</v>
      </c>
    </row>
    <row r="524" spans="1:14" ht="15">
      <c r="A524" s="4">
        <v>201403</v>
      </c>
      <c r="B524" t="s">
        <v>270</v>
      </c>
      <c r="C524" s="5">
        <v>6521228</v>
      </c>
      <c r="D524" s="2" t="s">
        <v>445</v>
      </c>
      <c r="E524" s="2" t="s">
        <v>15</v>
      </c>
      <c r="F524" s="3">
        <v>4.53</v>
      </c>
      <c r="G524" t="s">
        <v>57</v>
      </c>
      <c r="H524" s="1" t="s">
        <v>69</v>
      </c>
      <c r="I524">
        <f>-53919/95080137/1</f>
        <v>-0.0005670900537301498</v>
      </c>
      <c r="J524" t="s">
        <v>271</v>
      </c>
      <c r="K524" t="s">
        <v>272</v>
      </c>
      <c r="L524" t="s">
        <v>273</v>
      </c>
      <c r="N524" t="s">
        <v>58</v>
      </c>
    </row>
    <row r="525" spans="1:12" ht="15">
      <c r="A525" s="4">
        <v>201403</v>
      </c>
      <c r="B525" t="s">
        <v>270</v>
      </c>
      <c r="C525" s="5">
        <v>6521228</v>
      </c>
      <c r="D525" s="2" t="s">
        <v>445</v>
      </c>
      <c r="E525" s="2" t="s">
        <v>15</v>
      </c>
      <c r="F525" s="3">
        <v>75.48</v>
      </c>
      <c r="G525" t="s">
        <v>446</v>
      </c>
      <c r="H525" s="1" t="s">
        <v>69</v>
      </c>
      <c r="I525" t="s">
        <v>450</v>
      </c>
      <c r="J525" t="s">
        <v>271</v>
      </c>
      <c r="K525" t="s">
        <v>272</v>
      </c>
      <c r="L525" t="s">
        <v>273</v>
      </c>
    </row>
    <row r="526" spans="1:14" ht="15">
      <c r="A526" s="4">
        <v>201404</v>
      </c>
      <c r="B526" t="s">
        <v>270</v>
      </c>
      <c r="C526" s="5">
        <v>6521228</v>
      </c>
      <c r="D526" s="2" t="s">
        <v>445</v>
      </c>
      <c r="E526" s="2" t="s">
        <v>15</v>
      </c>
      <c r="F526" s="3">
        <v>97.2</v>
      </c>
      <c r="G526" t="s">
        <v>57</v>
      </c>
      <c r="H526" s="1" t="s">
        <v>69</v>
      </c>
      <c r="I526">
        <f>-11180/4447/1</f>
        <v>-2.514054418709242</v>
      </c>
      <c r="J526" t="s">
        <v>271</v>
      </c>
      <c r="K526" t="s">
        <v>272</v>
      </c>
      <c r="L526" t="s">
        <v>273</v>
      </c>
      <c r="N526" t="s">
        <v>58</v>
      </c>
    </row>
    <row r="527" spans="1:12" ht="15">
      <c r="A527" s="4">
        <v>201404</v>
      </c>
      <c r="B527" t="s">
        <v>270</v>
      </c>
      <c r="C527" s="5">
        <v>6521228</v>
      </c>
      <c r="D527" s="2" t="s">
        <v>445</v>
      </c>
      <c r="E527" s="2" t="s">
        <v>15</v>
      </c>
      <c r="F527" s="3">
        <v>1620</v>
      </c>
      <c r="G527" t="s">
        <v>448</v>
      </c>
      <c r="H527" s="1" t="s">
        <v>69</v>
      </c>
      <c r="I527" t="s">
        <v>451</v>
      </c>
      <c r="J527" t="s">
        <v>271</v>
      </c>
      <c r="K527" t="s">
        <v>272</v>
      </c>
      <c r="L527" t="s">
        <v>273</v>
      </c>
    </row>
    <row r="528" spans="1:12" ht="15">
      <c r="A528" s="4">
        <v>201402</v>
      </c>
      <c r="B528" t="s">
        <v>270</v>
      </c>
      <c r="C528" s="5">
        <v>6522371</v>
      </c>
      <c r="D528" s="2" t="s">
        <v>452</v>
      </c>
      <c r="E528" s="2" t="s">
        <v>15</v>
      </c>
      <c r="F528" s="3">
        <v>5.84</v>
      </c>
      <c r="H528" s="1" t="s">
        <v>66</v>
      </c>
      <c r="I528" t="s">
        <v>67</v>
      </c>
      <c r="J528" t="s">
        <v>271</v>
      </c>
      <c r="K528" t="s">
        <v>272</v>
      </c>
      <c r="L528" t="s">
        <v>273</v>
      </c>
    </row>
    <row r="529" spans="1:12" ht="15">
      <c r="A529" s="4">
        <v>201402</v>
      </c>
      <c r="B529" t="s">
        <v>270</v>
      </c>
      <c r="C529" s="5">
        <v>6522371</v>
      </c>
      <c r="D529" s="2" t="s">
        <v>452</v>
      </c>
      <c r="E529" s="2" t="s">
        <v>15</v>
      </c>
      <c r="F529" s="3">
        <v>0</v>
      </c>
      <c r="H529" s="1" t="s">
        <v>68</v>
      </c>
      <c r="J529" t="s">
        <v>271</v>
      </c>
      <c r="K529" t="s">
        <v>272</v>
      </c>
      <c r="L529" t="s">
        <v>273</v>
      </c>
    </row>
    <row r="530" spans="1:12" ht="15">
      <c r="A530" s="4">
        <v>201402</v>
      </c>
      <c r="B530" t="s">
        <v>270</v>
      </c>
      <c r="C530" s="5">
        <v>6522371</v>
      </c>
      <c r="D530" s="2" t="s">
        <v>452</v>
      </c>
      <c r="E530" s="2" t="s">
        <v>15</v>
      </c>
      <c r="F530" s="3">
        <v>0</v>
      </c>
      <c r="H530" s="1" t="s">
        <v>68</v>
      </c>
      <c r="J530" t="s">
        <v>271</v>
      </c>
      <c r="K530" t="s">
        <v>272</v>
      </c>
      <c r="L530" t="s">
        <v>273</v>
      </c>
    </row>
    <row r="531" spans="1:12" ht="15">
      <c r="A531" s="4">
        <v>201402</v>
      </c>
      <c r="B531" t="s">
        <v>270</v>
      </c>
      <c r="C531" s="5">
        <v>6522371</v>
      </c>
      <c r="D531" s="2" t="s">
        <v>452</v>
      </c>
      <c r="E531" s="2" t="s">
        <v>15</v>
      </c>
      <c r="F531" s="3">
        <v>0</v>
      </c>
      <c r="H531" s="1" t="s">
        <v>68</v>
      </c>
      <c r="J531" t="s">
        <v>271</v>
      </c>
      <c r="K531" t="s">
        <v>272</v>
      </c>
      <c r="L531" t="s">
        <v>273</v>
      </c>
    </row>
    <row r="532" spans="1:12" ht="15">
      <c r="A532" s="4">
        <v>201402</v>
      </c>
      <c r="B532" t="s">
        <v>270</v>
      </c>
      <c r="C532" s="5">
        <v>6522371</v>
      </c>
      <c r="D532" s="2" t="s">
        <v>452</v>
      </c>
      <c r="E532" s="2" t="s">
        <v>15</v>
      </c>
      <c r="F532" s="3">
        <v>0</v>
      </c>
      <c r="H532" s="1" t="s">
        <v>68</v>
      </c>
      <c r="J532" t="s">
        <v>271</v>
      </c>
      <c r="K532" t="s">
        <v>272</v>
      </c>
      <c r="L532" t="s">
        <v>273</v>
      </c>
    </row>
    <row r="533" spans="1:12" ht="15">
      <c r="A533" s="4">
        <v>201402</v>
      </c>
      <c r="B533" t="s">
        <v>270</v>
      </c>
      <c r="C533" s="5">
        <v>6522371</v>
      </c>
      <c r="D533" s="2" t="s">
        <v>452</v>
      </c>
      <c r="E533" s="2" t="s">
        <v>15</v>
      </c>
      <c r="F533" s="3">
        <v>0</v>
      </c>
      <c r="H533" s="1" t="s">
        <v>68</v>
      </c>
      <c r="J533" t="s">
        <v>271</v>
      </c>
      <c r="K533" t="s">
        <v>272</v>
      </c>
      <c r="L533" t="s">
        <v>273</v>
      </c>
    </row>
    <row r="534" spans="1:12" ht="15">
      <c r="A534" s="4">
        <v>201402</v>
      </c>
      <c r="B534" t="s">
        <v>270</v>
      </c>
      <c r="C534" s="5">
        <v>6522371</v>
      </c>
      <c r="D534" s="2" t="s">
        <v>452</v>
      </c>
      <c r="E534" s="2" t="s">
        <v>15</v>
      </c>
      <c r="F534" s="3">
        <v>42</v>
      </c>
      <c r="H534" s="1" t="s">
        <v>68</v>
      </c>
      <c r="J534" t="s">
        <v>271</v>
      </c>
      <c r="K534" t="s">
        <v>272</v>
      </c>
      <c r="L534" t="s">
        <v>273</v>
      </c>
    </row>
    <row r="535" spans="1:12" ht="15">
      <c r="A535" s="4">
        <v>201404</v>
      </c>
      <c r="B535" t="s">
        <v>270</v>
      </c>
      <c r="C535" s="5">
        <v>6524398</v>
      </c>
      <c r="D535" s="2" t="s">
        <v>454</v>
      </c>
      <c r="E535" s="2" t="s">
        <v>15</v>
      </c>
      <c r="F535" s="3">
        <v>7</v>
      </c>
      <c r="H535" s="1" t="s">
        <v>14</v>
      </c>
      <c r="I535" t="s">
        <v>453</v>
      </c>
      <c r="J535" t="s">
        <v>271</v>
      </c>
      <c r="K535" t="s">
        <v>272</v>
      </c>
      <c r="L535" t="s">
        <v>273</v>
      </c>
    </row>
    <row r="536" spans="1:12" ht="15">
      <c r="A536" s="4">
        <v>201404</v>
      </c>
      <c r="B536" t="s">
        <v>270</v>
      </c>
      <c r="C536" s="5">
        <v>6524398</v>
      </c>
      <c r="D536" s="2" t="s">
        <v>454</v>
      </c>
      <c r="E536" s="2" t="s">
        <v>15</v>
      </c>
      <c r="F536" s="3">
        <v>7.45</v>
      </c>
      <c r="H536" s="1" t="s">
        <v>14</v>
      </c>
      <c r="I536" t="s">
        <v>380</v>
      </c>
      <c r="J536" t="s">
        <v>271</v>
      </c>
      <c r="K536" t="s">
        <v>272</v>
      </c>
      <c r="L536" t="s">
        <v>273</v>
      </c>
    </row>
    <row r="537" spans="1:12" ht="15">
      <c r="A537" s="4">
        <v>201404</v>
      </c>
      <c r="B537" t="s">
        <v>270</v>
      </c>
      <c r="C537" s="5">
        <v>6524398</v>
      </c>
      <c r="D537" s="2" t="s">
        <v>454</v>
      </c>
      <c r="E537" s="2" t="s">
        <v>15</v>
      </c>
      <c r="F537" s="3">
        <v>10.08</v>
      </c>
      <c r="H537" s="1" t="s">
        <v>14</v>
      </c>
      <c r="I537" t="s">
        <v>101</v>
      </c>
      <c r="J537" t="s">
        <v>271</v>
      </c>
      <c r="K537" t="s">
        <v>272</v>
      </c>
      <c r="L537" t="s">
        <v>273</v>
      </c>
    </row>
    <row r="538" spans="1:12" ht="15">
      <c r="A538" s="4">
        <v>201404</v>
      </c>
      <c r="B538" t="s">
        <v>270</v>
      </c>
      <c r="C538" s="5">
        <v>6524398</v>
      </c>
      <c r="D538" s="2" t="s">
        <v>454</v>
      </c>
      <c r="E538" s="2" t="s">
        <v>15</v>
      </c>
      <c r="F538" s="3">
        <v>19.4</v>
      </c>
      <c r="H538" s="1" t="s">
        <v>14</v>
      </c>
      <c r="I538" t="s">
        <v>455</v>
      </c>
      <c r="J538" t="s">
        <v>271</v>
      </c>
      <c r="K538" t="s">
        <v>272</v>
      </c>
      <c r="L538" t="s">
        <v>273</v>
      </c>
    </row>
    <row r="539" spans="1:12" ht="15">
      <c r="A539" s="4">
        <v>201404</v>
      </c>
      <c r="B539" t="s">
        <v>270</v>
      </c>
      <c r="C539" s="5">
        <v>6524398</v>
      </c>
      <c r="D539" s="2" t="s">
        <v>454</v>
      </c>
      <c r="E539" s="2" t="s">
        <v>15</v>
      </c>
      <c r="F539" s="3">
        <v>39.3</v>
      </c>
      <c r="H539" s="1" t="s">
        <v>14</v>
      </c>
      <c r="I539" t="s">
        <v>456</v>
      </c>
      <c r="J539" t="s">
        <v>271</v>
      </c>
      <c r="K539" t="s">
        <v>272</v>
      </c>
      <c r="L539" t="s">
        <v>273</v>
      </c>
    </row>
    <row r="540" spans="1:12" ht="15">
      <c r="A540" s="4">
        <v>201404</v>
      </c>
      <c r="B540" t="s">
        <v>270</v>
      </c>
      <c r="C540" s="5">
        <v>6524398</v>
      </c>
      <c r="D540" s="2" t="s">
        <v>454</v>
      </c>
      <c r="E540" s="2" t="s">
        <v>15</v>
      </c>
      <c r="F540" s="3">
        <v>50.82</v>
      </c>
      <c r="H540" s="1" t="s">
        <v>14</v>
      </c>
      <c r="I540" t="s">
        <v>457</v>
      </c>
      <c r="J540" t="s">
        <v>271</v>
      </c>
      <c r="K540" t="s">
        <v>272</v>
      </c>
      <c r="L540" t="s">
        <v>273</v>
      </c>
    </row>
    <row r="541" spans="1:12" ht="15">
      <c r="A541" s="4">
        <v>201404</v>
      </c>
      <c r="B541" t="s">
        <v>270</v>
      </c>
      <c r="C541" s="5">
        <v>6524398</v>
      </c>
      <c r="D541" s="2" t="s">
        <v>454</v>
      </c>
      <c r="E541" s="2" t="s">
        <v>15</v>
      </c>
      <c r="F541" s="3">
        <v>291.03</v>
      </c>
      <c r="H541" s="1" t="s">
        <v>14</v>
      </c>
      <c r="I541" t="s">
        <v>458</v>
      </c>
      <c r="J541" t="s">
        <v>271</v>
      </c>
      <c r="K541" t="s">
        <v>272</v>
      </c>
      <c r="L541" t="s">
        <v>273</v>
      </c>
    </row>
    <row r="542" spans="1:12" ht="15">
      <c r="A542" s="4">
        <v>201404</v>
      </c>
      <c r="B542" t="s">
        <v>270</v>
      </c>
      <c r="C542" s="5">
        <v>6524398</v>
      </c>
      <c r="D542" s="2" t="s">
        <v>454</v>
      </c>
      <c r="E542" s="2" t="s">
        <v>15</v>
      </c>
      <c r="F542" s="3">
        <v>315.1</v>
      </c>
      <c r="H542" s="1" t="s">
        <v>14</v>
      </c>
      <c r="I542" t="s">
        <v>459</v>
      </c>
      <c r="J542" t="s">
        <v>271</v>
      </c>
      <c r="K542" t="s">
        <v>272</v>
      </c>
      <c r="L542" t="s">
        <v>273</v>
      </c>
    </row>
    <row r="543" spans="1:12" ht="15">
      <c r="A543" s="4">
        <v>201404</v>
      </c>
      <c r="B543" t="s">
        <v>270</v>
      </c>
      <c r="C543" s="5">
        <v>6524398</v>
      </c>
      <c r="D543" s="2" t="s">
        <v>454</v>
      </c>
      <c r="E543" s="2" t="s">
        <v>15</v>
      </c>
      <c r="F543" s="3">
        <v>6.86</v>
      </c>
      <c r="H543" s="1" t="s">
        <v>66</v>
      </c>
      <c r="I543" t="s">
        <v>67</v>
      </c>
      <c r="J543" t="s">
        <v>271</v>
      </c>
      <c r="K543" t="s">
        <v>272</v>
      </c>
      <c r="L543" t="s">
        <v>273</v>
      </c>
    </row>
    <row r="544" spans="1:12" ht="15">
      <c r="A544" s="4">
        <v>201402</v>
      </c>
      <c r="B544" t="s">
        <v>270</v>
      </c>
      <c r="C544" s="5">
        <v>6524450</v>
      </c>
      <c r="D544" s="2" t="s">
        <v>460</v>
      </c>
      <c r="E544" s="2" t="s">
        <v>15</v>
      </c>
      <c r="F544" s="3">
        <v>15.5</v>
      </c>
      <c r="H544" s="1" t="s">
        <v>14</v>
      </c>
      <c r="I544" t="s">
        <v>36</v>
      </c>
      <c r="J544" t="s">
        <v>271</v>
      </c>
      <c r="K544" t="s">
        <v>272</v>
      </c>
      <c r="L544" t="s">
        <v>273</v>
      </c>
    </row>
    <row r="545" spans="1:12" ht="15">
      <c r="A545" s="4">
        <v>201402</v>
      </c>
      <c r="B545" t="s">
        <v>270</v>
      </c>
      <c r="C545" s="5">
        <v>6524450</v>
      </c>
      <c r="D545" s="2" t="s">
        <v>460</v>
      </c>
      <c r="E545" s="2" t="s">
        <v>15</v>
      </c>
      <c r="F545" s="3">
        <v>25</v>
      </c>
      <c r="H545" s="1" t="s">
        <v>14</v>
      </c>
      <c r="I545" t="s">
        <v>364</v>
      </c>
      <c r="J545" t="s">
        <v>271</v>
      </c>
      <c r="K545" t="s">
        <v>272</v>
      </c>
      <c r="L545" t="s">
        <v>273</v>
      </c>
    </row>
    <row r="546" spans="1:12" ht="15">
      <c r="A546" s="4">
        <v>201402</v>
      </c>
      <c r="B546" t="s">
        <v>270</v>
      </c>
      <c r="C546" s="5">
        <v>6524450</v>
      </c>
      <c r="D546" s="2" t="s">
        <v>460</v>
      </c>
      <c r="E546" s="2" t="s">
        <v>15</v>
      </c>
      <c r="F546" s="3">
        <v>131</v>
      </c>
      <c r="H546" s="1" t="s">
        <v>14</v>
      </c>
      <c r="I546" t="s">
        <v>365</v>
      </c>
      <c r="J546" t="s">
        <v>271</v>
      </c>
      <c r="K546" t="s">
        <v>272</v>
      </c>
      <c r="L546" t="s">
        <v>273</v>
      </c>
    </row>
    <row r="547" spans="1:12" ht="15">
      <c r="A547" s="4">
        <v>201404</v>
      </c>
      <c r="B547" t="s">
        <v>270</v>
      </c>
      <c r="C547" s="5">
        <v>6524450</v>
      </c>
      <c r="D547" s="2" t="s">
        <v>460</v>
      </c>
      <c r="E547" s="2" t="s">
        <v>15</v>
      </c>
      <c r="F547" s="3">
        <v>8.05</v>
      </c>
      <c r="H547" s="1" t="s">
        <v>14</v>
      </c>
      <c r="I547" t="s">
        <v>461</v>
      </c>
      <c r="J547" t="s">
        <v>271</v>
      </c>
      <c r="K547" t="s">
        <v>272</v>
      </c>
      <c r="L547" t="s">
        <v>273</v>
      </c>
    </row>
    <row r="548" spans="1:12" ht="15">
      <c r="A548" s="4">
        <v>201404</v>
      </c>
      <c r="B548" t="s">
        <v>270</v>
      </c>
      <c r="C548" s="5">
        <v>6524450</v>
      </c>
      <c r="D548" s="2" t="s">
        <v>460</v>
      </c>
      <c r="E548" s="2" t="s">
        <v>15</v>
      </c>
      <c r="F548" s="3">
        <v>14.5</v>
      </c>
      <c r="H548" s="1" t="s">
        <v>14</v>
      </c>
      <c r="I548" t="s">
        <v>335</v>
      </c>
      <c r="J548" t="s">
        <v>271</v>
      </c>
      <c r="K548" t="s">
        <v>272</v>
      </c>
      <c r="L548" t="s">
        <v>273</v>
      </c>
    </row>
    <row r="549" spans="1:12" ht="15">
      <c r="A549" s="4">
        <v>201404</v>
      </c>
      <c r="B549" t="s">
        <v>270</v>
      </c>
      <c r="C549" s="5">
        <v>6524450</v>
      </c>
      <c r="D549" s="2" t="s">
        <v>460</v>
      </c>
      <c r="E549" s="2" t="s">
        <v>15</v>
      </c>
      <c r="F549" s="3">
        <v>20.75</v>
      </c>
      <c r="H549" s="1" t="s">
        <v>14</v>
      </c>
      <c r="I549" t="s">
        <v>319</v>
      </c>
      <c r="J549" t="s">
        <v>271</v>
      </c>
      <c r="K549" t="s">
        <v>272</v>
      </c>
      <c r="L549" t="s">
        <v>273</v>
      </c>
    </row>
    <row r="550" spans="1:14" ht="15">
      <c r="A550" s="4">
        <v>201403</v>
      </c>
      <c r="B550" t="s">
        <v>270</v>
      </c>
      <c r="C550" s="5">
        <v>6524450</v>
      </c>
      <c r="D550" s="2" t="s">
        <v>460</v>
      </c>
      <c r="E550" s="2" t="s">
        <v>15</v>
      </c>
      <c r="F550" s="3">
        <v>13.29</v>
      </c>
      <c r="G550" t="s">
        <v>57</v>
      </c>
      <c r="H550" s="1" t="s">
        <v>60</v>
      </c>
      <c r="I550">
        <f>-70891/317235/1</f>
        <v>-0.22346525446435608</v>
      </c>
      <c r="J550" t="s">
        <v>271</v>
      </c>
      <c r="K550" t="s">
        <v>272</v>
      </c>
      <c r="L550" t="s">
        <v>273</v>
      </c>
      <c r="N550" t="s">
        <v>58</v>
      </c>
    </row>
    <row r="551" spans="1:13" ht="15">
      <c r="A551" s="4">
        <v>201403</v>
      </c>
      <c r="B551" t="s">
        <v>270</v>
      </c>
      <c r="C551" s="5">
        <v>6524450</v>
      </c>
      <c r="D551" s="2" t="s">
        <v>460</v>
      </c>
      <c r="E551" s="2" t="s">
        <v>15</v>
      </c>
      <c r="F551" s="3">
        <v>26.73</v>
      </c>
      <c r="G551" t="s">
        <v>81</v>
      </c>
      <c r="H551" s="1" t="s">
        <v>60</v>
      </c>
      <c r="I551" t="s">
        <v>462</v>
      </c>
      <c r="J551" t="s">
        <v>271</v>
      </c>
      <c r="K551" t="s">
        <v>272</v>
      </c>
      <c r="L551" t="s">
        <v>273</v>
      </c>
      <c r="M551">
        <v>900096</v>
      </c>
    </row>
    <row r="552" spans="1:13" ht="15">
      <c r="A552" s="4">
        <v>201403</v>
      </c>
      <c r="B552" t="s">
        <v>270</v>
      </c>
      <c r="C552" s="5">
        <v>6524450</v>
      </c>
      <c r="D552" s="2" t="s">
        <v>460</v>
      </c>
      <c r="E552" s="2" t="s">
        <v>15</v>
      </c>
      <c r="F552" s="3">
        <v>30.29</v>
      </c>
      <c r="G552" t="s">
        <v>81</v>
      </c>
      <c r="H552" s="1" t="s">
        <v>60</v>
      </c>
      <c r="I552" t="s">
        <v>463</v>
      </c>
      <c r="J552" t="s">
        <v>271</v>
      </c>
      <c r="K552" t="s">
        <v>272</v>
      </c>
      <c r="L552" t="s">
        <v>273</v>
      </c>
      <c r="M552">
        <v>900096</v>
      </c>
    </row>
    <row r="553" spans="1:13" ht="15">
      <c r="A553" s="4">
        <v>201403</v>
      </c>
      <c r="B553" t="s">
        <v>270</v>
      </c>
      <c r="C553" s="5">
        <v>6524450</v>
      </c>
      <c r="D553" s="2" t="s">
        <v>460</v>
      </c>
      <c r="E553" s="2" t="s">
        <v>15</v>
      </c>
      <c r="F553" s="3">
        <v>64.4</v>
      </c>
      <c r="G553" t="s">
        <v>81</v>
      </c>
      <c r="H553" s="1" t="s">
        <v>60</v>
      </c>
      <c r="I553" t="s">
        <v>464</v>
      </c>
      <c r="J553" t="s">
        <v>271</v>
      </c>
      <c r="K553" t="s">
        <v>272</v>
      </c>
      <c r="L553" t="s">
        <v>273</v>
      </c>
      <c r="M553">
        <v>900096</v>
      </c>
    </row>
    <row r="554" spans="1:14" ht="15">
      <c r="A554" s="4">
        <v>201403</v>
      </c>
      <c r="B554" t="s">
        <v>270</v>
      </c>
      <c r="C554" s="5">
        <v>6524450</v>
      </c>
      <c r="D554" s="2" t="s">
        <v>460</v>
      </c>
      <c r="E554" s="2" t="s">
        <v>15</v>
      </c>
      <c r="F554" s="3">
        <v>109.18</v>
      </c>
      <c r="G554" t="s">
        <v>57</v>
      </c>
      <c r="H554" s="1" t="s">
        <v>60</v>
      </c>
      <c r="I554">
        <f>-70891/317161/1</f>
        <v>-0.223517393374343</v>
      </c>
      <c r="J554" t="s">
        <v>271</v>
      </c>
      <c r="K554" t="s">
        <v>272</v>
      </c>
      <c r="L554" t="s">
        <v>273</v>
      </c>
      <c r="N554" t="s">
        <v>58</v>
      </c>
    </row>
    <row r="555" spans="1:14" ht="15">
      <c r="A555" s="4">
        <v>201403</v>
      </c>
      <c r="B555" t="s">
        <v>270</v>
      </c>
      <c r="C555" s="5">
        <v>6524450</v>
      </c>
      <c r="D555" s="2" t="s">
        <v>460</v>
      </c>
      <c r="E555" s="2" t="s">
        <v>15</v>
      </c>
      <c r="F555" s="3">
        <v>153.19</v>
      </c>
      <c r="G555" t="s">
        <v>57</v>
      </c>
      <c r="H555" s="1" t="s">
        <v>60</v>
      </c>
      <c r="I555">
        <f>-70891/316608/1</f>
        <v>-0.22390779765514454</v>
      </c>
      <c r="J555" t="s">
        <v>271</v>
      </c>
      <c r="K555" t="s">
        <v>272</v>
      </c>
      <c r="L555" t="s">
        <v>273</v>
      </c>
      <c r="N555" t="s">
        <v>58</v>
      </c>
    </row>
    <row r="556" spans="1:13" ht="15">
      <c r="A556" s="4">
        <v>201403</v>
      </c>
      <c r="B556" t="s">
        <v>270</v>
      </c>
      <c r="C556" s="5">
        <v>6524450</v>
      </c>
      <c r="D556" s="2" t="s">
        <v>460</v>
      </c>
      <c r="E556" s="2" t="s">
        <v>15</v>
      </c>
      <c r="F556" s="3">
        <v>157.2</v>
      </c>
      <c r="G556" t="s">
        <v>81</v>
      </c>
      <c r="H556" s="1" t="s">
        <v>60</v>
      </c>
      <c r="I556" t="s">
        <v>465</v>
      </c>
      <c r="J556" t="s">
        <v>271</v>
      </c>
      <c r="K556" t="s">
        <v>272</v>
      </c>
      <c r="L556" t="s">
        <v>273</v>
      </c>
      <c r="M556">
        <v>900096</v>
      </c>
    </row>
    <row r="557" spans="1:13" ht="15">
      <c r="A557" s="4">
        <v>201403</v>
      </c>
      <c r="B557" t="s">
        <v>270</v>
      </c>
      <c r="C557" s="5">
        <v>6524450</v>
      </c>
      <c r="D557" s="2" t="s">
        <v>460</v>
      </c>
      <c r="E557" s="2" t="s">
        <v>15</v>
      </c>
      <c r="F557" s="3">
        <v>452.19</v>
      </c>
      <c r="G557" t="s">
        <v>81</v>
      </c>
      <c r="H557" s="1" t="s">
        <v>60</v>
      </c>
      <c r="I557" t="s">
        <v>466</v>
      </c>
      <c r="J557" t="s">
        <v>271</v>
      </c>
      <c r="K557" t="s">
        <v>272</v>
      </c>
      <c r="L557" t="s">
        <v>273</v>
      </c>
      <c r="M557">
        <v>900096</v>
      </c>
    </row>
    <row r="558" spans="1:13" ht="15">
      <c r="A558" s="4">
        <v>201403</v>
      </c>
      <c r="B558" t="s">
        <v>270</v>
      </c>
      <c r="C558" s="5">
        <v>6524450</v>
      </c>
      <c r="D558" s="2" t="s">
        <v>460</v>
      </c>
      <c r="E558" s="2" t="s">
        <v>15</v>
      </c>
      <c r="F558" s="3">
        <v>582</v>
      </c>
      <c r="G558" t="s">
        <v>81</v>
      </c>
      <c r="H558" s="1" t="s">
        <v>60</v>
      </c>
      <c r="I558" t="s">
        <v>467</v>
      </c>
      <c r="J558" t="s">
        <v>271</v>
      </c>
      <c r="K558" t="s">
        <v>272</v>
      </c>
      <c r="L558" t="s">
        <v>273</v>
      </c>
      <c r="M558">
        <v>900096</v>
      </c>
    </row>
    <row r="559" spans="1:13" ht="15">
      <c r="A559" s="4">
        <v>201403</v>
      </c>
      <c r="B559" t="s">
        <v>270</v>
      </c>
      <c r="C559" s="5">
        <v>6524450</v>
      </c>
      <c r="D559" s="2" t="s">
        <v>460</v>
      </c>
      <c r="E559" s="2" t="s">
        <v>15</v>
      </c>
      <c r="F559" s="3">
        <v>624</v>
      </c>
      <c r="G559" t="s">
        <v>81</v>
      </c>
      <c r="H559" s="1" t="s">
        <v>60</v>
      </c>
      <c r="I559" t="s">
        <v>468</v>
      </c>
      <c r="J559" t="s">
        <v>271</v>
      </c>
      <c r="K559" t="s">
        <v>272</v>
      </c>
      <c r="L559" t="s">
        <v>273</v>
      </c>
      <c r="M559">
        <v>900096</v>
      </c>
    </row>
    <row r="560" spans="1:13" ht="15">
      <c r="A560" s="4">
        <v>201403</v>
      </c>
      <c r="B560" t="s">
        <v>270</v>
      </c>
      <c r="C560" s="5">
        <v>6524450</v>
      </c>
      <c r="D560" s="2" t="s">
        <v>460</v>
      </c>
      <c r="E560" s="2" t="s">
        <v>15</v>
      </c>
      <c r="F560" s="3">
        <v>894.95</v>
      </c>
      <c r="G560" t="s">
        <v>81</v>
      </c>
      <c r="H560" s="1" t="s">
        <v>60</v>
      </c>
      <c r="I560" t="s">
        <v>469</v>
      </c>
      <c r="J560" t="s">
        <v>271</v>
      </c>
      <c r="K560" t="s">
        <v>272</v>
      </c>
      <c r="L560" t="s">
        <v>273</v>
      </c>
      <c r="M560">
        <v>900096</v>
      </c>
    </row>
    <row r="561" spans="1:13" ht="15">
      <c r="A561" s="4">
        <v>201403</v>
      </c>
      <c r="B561" t="s">
        <v>270</v>
      </c>
      <c r="C561" s="5">
        <v>6524450</v>
      </c>
      <c r="D561" s="2" t="s">
        <v>460</v>
      </c>
      <c r="E561" s="2" t="s">
        <v>15</v>
      </c>
      <c r="F561" s="3">
        <v>1744.42</v>
      </c>
      <c r="G561" t="s">
        <v>81</v>
      </c>
      <c r="H561" s="1" t="s">
        <v>60</v>
      </c>
      <c r="I561" t="s">
        <v>470</v>
      </c>
      <c r="J561" t="s">
        <v>271</v>
      </c>
      <c r="K561" t="s">
        <v>272</v>
      </c>
      <c r="L561" t="s">
        <v>273</v>
      </c>
      <c r="M561">
        <v>900096</v>
      </c>
    </row>
    <row r="562" spans="1:12" ht="15">
      <c r="A562" s="4">
        <v>201402</v>
      </c>
      <c r="B562" t="s">
        <v>270</v>
      </c>
      <c r="C562" s="5">
        <v>6524450</v>
      </c>
      <c r="D562" s="2" t="s">
        <v>460</v>
      </c>
      <c r="E562" s="2" t="s">
        <v>15</v>
      </c>
      <c r="F562" s="3">
        <v>7.02</v>
      </c>
      <c r="H562" s="1" t="s">
        <v>66</v>
      </c>
      <c r="I562" t="s">
        <v>67</v>
      </c>
      <c r="J562" t="s">
        <v>271</v>
      </c>
      <c r="K562" t="s">
        <v>272</v>
      </c>
      <c r="L562" t="s">
        <v>273</v>
      </c>
    </row>
    <row r="563" spans="1:12" ht="15">
      <c r="A563" s="4">
        <v>201403</v>
      </c>
      <c r="B563" t="s">
        <v>270</v>
      </c>
      <c r="C563" s="5">
        <v>6524450</v>
      </c>
      <c r="D563" s="2" t="s">
        <v>460</v>
      </c>
      <c r="E563" s="2" t="s">
        <v>15</v>
      </c>
      <c r="F563" s="3">
        <v>3.38</v>
      </c>
      <c r="H563" s="1" t="s">
        <v>66</v>
      </c>
      <c r="I563" t="s">
        <v>67</v>
      </c>
      <c r="J563" t="s">
        <v>271</v>
      </c>
      <c r="K563" t="s">
        <v>272</v>
      </c>
      <c r="L563" t="s">
        <v>273</v>
      </c>
    </row>
    <row r="564" spans="1:12" ht="15">
      <c r="A564" s="4">
        <v>201404</v>
      </c>
      <c r="B564" t="s">
        <v>270</v>
      </c>
      <c r="C564" s="5">
        <v>6524450</v>
      </c>
      <c r="D564" s="2" t="s">
        <v>460</v>
      </c>
      <c r="E564" s="2" t="s">
        <v>15</v>
      </c>
      <c r="F564" s="3">
        <v>2.74</v>
      </c>
      <c r="H564" s="1" t="s">
        <v>66</v>
      </c>
      <c r="I564" t="s">
        <v>67</v>
      </c>
      <c r="J564" t="s">
        <v>271</v>
      </c>
      <c r="K564" t="s">
        <v>272</v>
      </c>
      <c r="L564" t="s">
        <v>273</v>
      </c>
    </row>
    <row r="565" spans="1:14" ht="15">
      <c r="A565" s="4">
        <v>201403</v>
      </c>
      <c r="B565" t="s">
        <v>270</v>
      </c>
      <c r="C565" s="5">
        <v>6524450</v>
      </c>
      <c r="D565" s="2" t="s">
        <v>460</v>
      </c>
      <c r="E565" s="2" t="s">
        <v>15</v>
      </c>
      <c r="F565" s="3">
        <v>0.71</v>
      </c>
      <c r="G565" t="s">
        <v>57</v>
      </c>
      <c r="H565" s="1" t="s">
        <v>69</v>
      </c>
      <c r="I565">
        <f>-70891/317235/1</f>
        <v>-0.22346525446435608</v>
      </c>
      <c r="J565" t="s">
        <v>271</v>
      </c>
      <c r="K565" t="s">
        <v>272</v>
      </c>
      <c r="L565" t="s">
        <v>273</v>
      </c>
      <c r="N565" t="s">
        <v>58</v>
      </c>
    </row>
    <row r="566" spans="1:14" ht="15">
      <c r="A566" s="4">
        <v>201403</v>
      </c>
      <c r="B566" t="s">
        <v>270</v>
      </c>
      <c r="C566" s="5">
        <v>6524450</v>
      </c>
      <c r="D566" s="2" t="s">
        <v>460</v>
      </c>
      <c r="E566" s="2" t="s">
        <v>15</v>
      </c>
      <c r="F566" s="3">
        <v>5.68</v>
      </c>
      <c r="G566" t="s">
        <v>57</v>
      </c>
      <c r="H566" s="1" t="s">
        <v>69</v>
      </c>
      <c r="I566">
        <f>-70891/317161/1</f>
        <v>-0.223517393374343</v>
      </c>
      <c r="J566" t="s">
        <v>271</v>
      </c>
      <c r="K566" t="s">
        <v>272</v>
      </c>
      <c r="L566" t="s">
        <v>273</v>
      </c>
      <c r="N566" t="s">
        <v>58</v>
      </c>
    </row>
    <row r="567" spans="1:12" ht="15">
      <c r="A567" s="4">
        <v>201403</v>
      </c>
      <c r="B567" t="s">
        <v>270</v>
      </c>
      <c r="C567" s="5">
        <v>6524450</v>
      </c>
      <c r="D567" s="2" t="s">
        <v>460</v>
      </c>
      <c r="E567" s="2" t="s">
        <v>15</v>
      </c>
      <c r="F567" s="3">
        <v>11.91</v>
      </c>
      <c r="G567" t="s">
        <v>81</v>
      </c>
      <c r="H567" s="1" t="s">
        <v>69</v>
      </c>
      <c r="I567" t="e">
        <f>-freight</f>
        <v>#NAME?</v>
      </c>
      <c r="J567" t="s">
        <v>271</v>
      </c>
      <c r="K567" t="s">
        <v>272</v>
      </c>
      <c r="L567" t="s">
        <v>273</v>
      </c>
    </row>
    <row r="568" spans="1:14" ht="15">
      <c r="A568" s="4">
        <v>201403</v>
      </c>
      <c r="B568" t="s">
        <v>270</v>
      </c>
      <c r="C568" s="5">
        <v>6524450</v>
      </c>
      <c r="D568" s="2" t="s">
        <v>460</v>
      </c>
      <c r="E568" s="2" t="s">
        <v>15</v>
      </c>
      <c r="F568" s="3">
        <v>12.12</v>
      </c>
      <c r="G568" t="s">
        <v>57</v>
      </c>
      <c r="H568" s="1" t="s">
        <v>69</v>
      </c>
      <c r="I568">
        <f>-70891/316608/1</f>
        <v>-0.22390779765514454</v>
      </c>
      <c r="J568" t="s">
        <v>271</v>
      </c>
      <c r="K568" t="s">
        <v>272</v>
      </c>
      <c r="L568" t="s">
        <v>273</v>
      </c>
      <c r="N568" t="s">
        <v>58</v>
      </c>
    </row>
    <row r="569" spans="1:12" ht="15">
      <c r="A569" s="4">
        <v>201403</v>
      </c>
      <c r="B569" t="s">
        <v>270</v>
      </c>
      <c r="C569" s="5">
        <v>6524450</v>
      </c>
      <c r="D569" s="2" t="s">
        <v>460</v>
      </c>
      <c r="E569" s="2" t="s">
        <v>15</v>
      </c>
      <c r="F569" s="3">
        <v>94.62</v>
      </c>
      <c r="G569" t="s">
        <v>81</v>
      </c>
      <c r="H569" s="1" t="s">
        <v>69</v>
      </c>
      <c r="I569" t="e">
        <f>-freight</f>
        <v>#NAME?</v>
      </c>
      <c r="J569" t="s">
        <v>271</v>
      </c>
      <c r="K569" t="s">
        <v>272</v>
      </c>
      <c r="L569" t="s">
        <v>273</v>
      </c>
    </row>
    <row r="570" spans="1:12" ht="15">
      <c r="A570" s="4">
        <v>201403</v>
      </c>
      <c r="B570" t="s">
        <v>270</v>
      </c>
      <c r="C570" s="5">
        <v>6524450</v>
      </c>
      <c r="D570" s="2" t="s">
        <v>460</v>
      </c>
      <c r="E570" s="2" t="s">
        <v>15</v>
      </c>
      <c r="F570" s="3">
        <v>201.94</v>
      </c>
      <c r="G570" t="s">
        <v>81</v>
      </c>
      <c r="H570" s="1" t="s">
        <v>69</v>
      </c>
      <c r="I570" t="e">
        <f>-freight</f>
        <v>#NAME?</v>
      </c>
      <c r="J570" t="s">
        <v>271</v>
      </c>
      <c r="K570" t="s">
        <v>272</v>
      </c>
      <c r="L570" t="s">
        <v>273</v>
      </c>
    </row>
    <row r="571" spans="1:12" ht="15">
      <c r="A571" s="4">
        <v>201402</v>
      </c>
      <c r="B571" t="s">
        <v>270</v>
      </c>
      <c r="C571" s="5">
        <v>6529471</v>
      </c>
      <c r="D571" s="2" t="s">
        <v>471</v>
      </c>
      <c r="E571" s="2" t="s">
        <v>15</v>
      </c>
      <c r="F571" s="3">
        <v>195.98</v>
      </c>
      <c r="H571" s="1" t="s">
        <v>14</v>
      </c>
      <c r="I571" t="s">
        <v>365</v>
      </c>
      <c r="J571" t="s">
        <v>271</v>
      </c>
      <c r="K571" t="s">
        <v>272</v>
      </c>
      <c r="L571" t="s">
        <v>273</v>
      </c>
    </row>
    <row r="572" spans="1:12" ht="15">
      <c r="A572" s="4">
        <v>201402</v>
      </c>
      <c r="B572" t="s">
        <v>270</v>
      </c>
      <c r="C572" s="5">
        <v>6529471</v>
      </c>
      <c r="D572" s="2" t="s">
        <v>471</v>
      </c>
      <c r="E572" s="2" t="s">
        <v>15</v>
      </c>
      <c r="F572" s="3">
        <v>516</v>
      </c>
      <c r="H572" s="1" t="s">
        <v>14</v>
      </c>
      <c r="I572" t="s">
        <v>472</v>
      </c>
      <c r="J572" t="s">
        <v>271</v>
      </c>
      <c r="K572" t="s">
        <v>272</v>
      </c>
      <c r="L572" t="s">
        <v>273</v>
      </c>
    </row>
    <row r="573" spans="1:12" ht="15">
      <c r="A573" s="4">
        <v>201402</v>
      </c>
      <c r="B573" t="s">
        <v>270</v>
      </c>
      <c r="C573" s="5">
        <v>6529472</v>
      </c>
      <c r="D573" s="2" t="s">
        <v>474</v>
      </c>
      <c r="E573" s="2" t="s">
        <v>15</v>
      </c>
      <c r="F573" s="3">
        <v>5.4</v>
      </c>
      <c r="H573" s="1" t="s">
        <v>14</v>
      </c>
      <c r="I573" t="s">
        <v>473</v>
      </c>
      <c r="J573" t="s">
        <v>271</v>
      </c>
      <c r="K573" t="s">
        <v>272</v>
      </c>
      <c r="L573" t="s">
        <v>273</v>
      </c>
    </row>
    <row r="574" spans="1:12" ht="15">
      <c r="A574" s="4">
        <v>201402</v>
      </c>
      <c r="B574" t="s">
        <v>270</v>
      </c>
      <c r="C574" s="5">
        <v>6529472</v>
      </c>
      <c r="D574" s="2" t="s">
        <v>474</v>
      </c>
      <c r="E574" s="2" t="s">
        <v>15</v>
      </c>
      <c r="F574" s="3">
        <v>6.56</v>
      </c>
      <c r="H574" s="1" t="s">
        <v>14</v>
      </c>
      <c r="I574" t="s">
        <v>475</v>
      </c>
      <c r="J574" t="s">
        <v>271</v>
      </c>
      <c r="K574" t="s">
        <v>272</v>
      </c>
      <c r="L574" t="s">
        <v>273</v>
      </c>
    </row>
    <row r="575" spans="1:12" ht="15">
      <c r="A575" s="4">
        <v>201402</v>
      </c>
      <c r="B575" t="s">
        <v>270</v>
      </c>
      <c r="C575" s="5">
        <v>6529472</v>
      </c>
      <c r="D575" s="2" t="s">
        <v>474</v>
      </c>
      <c r="E575" s="2" t="s">
        <v>15</v>
      </c>
      <c r="F575" s="3">
        <v>7.75</v>
      </c>
      <c r="H575" s="1" t="s">
        <v>14</v>
      </c>
      <c r="I575" t="s">
        <v>36</v>
      </c>
      <c r="J575" t="s">
        <v>271</v>
      </c>
      <c r="K575" t="s">
        <v>272</v>
      </c>
      <c r="L575" t="s">
        <v>273</v>
      </c>
    </row>
    <row r="576" spans="1:12" ht="15">
      <c r="A576" s="4">
        <v>201402</v>
      </c>
      <c r="B576" t="s">
        <v>270</v>
      </c>
      <c r="C576" s="5">
        <v>6529472</v>
      </c>
      <c r="D576" s="2" t="s">
        <v>474</v>
      </c>
      <c r="E576" s="2" t="s">
        <v>15</v>
      </c>
      <c r="F576" s="3">
        <v>18.55</v>
      </c>
      <c r="H576" s="1" t="s">
        <v>14</v>
      </c>
      <c r="I576" t="s">
        <v>30</v>
      </c>
      <c r="J576" t="s">
        <v>271</v>
      </c>
      <c r="K576" t="s">
        <v>272</v>
      </c>
      <c r="L576" t="s">
        <v>273</v>
      </c>
    </row>
    <row r="577" spans="1:12" ht="15">
      <c r="A577" s="4">
        <v>201402</v>
      </c>
      <c r="B577" t="s">
        <v>270</v>
      </c>
      <c r="C577" s="5">
        <v>6529472</v>
      </c>
      <c r="D577" s="2" t="s">
        <v>474</v>
      </c>
      <c r="E577" s="2" t="s">
        <v>15</v>
      </c>
      <c r="F577" s="3">
        <v>75.47</v>
      </c>
      <c r="H577" s="1" t="s">
        <v>14</v>
      </c>
      <c r="I577" t="s">
        <v>387</v>
      </c>
      <c r="J577" t="s">
        <v>271</v>
      </c>
      <c r="K577" t="s">
        <v>272</v>
      </c>
      <c r="L577" t="s">
        <v>273</v>
      </c>
    </row>
    <row r="578" spans="1:12" ht="15">
      <c r="A578" s="4">
        <v>201402</v>
      </c>
      <c r="B578" t="s">
        <v>270</v>
      </c>
      <c r="C578" s="5">
        <v>6529472</v>
      </c>
      <c r="D578" s="2" t="s">
        <v>474</v>
      </c>
      <c r="E578" s="2" t="s">
        <v>15</v>
      </c>
      <c r="F578" s="3">
        <v>13536</v>
      </c>
      <c r="H578" s="1" t="s">
        <v>14</v>
      </c>
      <c r="I578" t="s">
        <v>476</v>
      </c>
      <c r="J578" t="s">
        <v>271</v>
      </c>
      <c r="K578" t="s">
        <v>272</v>
      </c>
      <c r="L578" t="s">
        <v>273</v>
      </c>
    </row>
    <row r="579" spans="1:12" ht="15">
      <c r="A579" s="4">
        <v>201404</v>
      </c>
      <c r="B579" t="s">
        <v>270</v>
      </c>
      <c r="C579" s="5">
        <v>6529559</v>
      </c>
      <c r="D579" s="2" t="s">
        <v>254</v>
      </c>
      <c r="E579" s="2" t="s">
        <v>15</v>
      </c>
      <c r="F579" s="3">
        <v>4.11</v>
      </c>
      <c r="H579" s="1" t="s">
        <v>14</v>
      </c>
      <c r="I579" t="s">
        <v>477</v>
      </c>
      <c r="J579" t="s">
        <v>271</v>
      </c>
      <c r="K579" t="s">
        <v>272</v>
      </c>
      <c r="L579" t="s">
        <v>273</v>
      </c>
    </row>
    <row r="580" spans="1:12" ht="15">
      <c r="A580" s="4">
        <v>201404</v>
      </c>
      <c r="B580" t="s">
        <v>270</v>
      </c>
      <c r="C580" s="5">
        <v>6529559</v>
      </c>
      <c r="D580" s="2" t="s">
        <v>254</v>
      </c>
      <c r="E580" s="2" t="s">
        <v>15</v>
      </c>
      <c r="F580" s="3">
        <v>5.78</v>
      </c>
      <c r="H580" s="1" t="s">
        <v>14</v>
      </c>
      <c r="I580" t="s">
        <v>338</v>
      </c>
      <c r="J580" t="s">
        <v>271</v>
      </c>
      <c r="K580" t="s">
        <v>272</v>
      </c>
      <c r="L580" t="s">
        <v>273</v>
      </c>
    </row>
    <row r="581" spans="1:12" ht="15">
      <c r="A581" s="4">
        <v>201404</v>
      </c>
      <c r="B581" t="s">
        <v>270</v>
      </c>
      <c r="C581" s="5">
        <v>6529559</v>
      </c>
      <c r="D581" s="2" t="s">
        <v>254</v>
      </c>
      <c r="E581" s="2" t="s">
        <v>15</v>
      </c>
      <c r="F581" s="3">
        <v>6.3</v>
      </c>
      <c r="H581" s="1" t="s">
        <v>14</v>
      </c>
      <c r="I581" t="s">
        <v>150</v>
      </c>
      <c r="J581" t="s">
        <v>271</v>
      </c>
      <c r="K581" t="s">
        <v>272</v>
      </c>
      <c r="L581" t="s">
        <v>273</v>
      </c>
    </row>
    <row r="582" spans="1:12" ht="15">
      <c r="A582" s="4">
        <v>201404</v>
      </c>
      <c r="B582" t="s">
        <v>270</v>
      </c>
      <c r="C582" s="5">
        <v>6529559</v>
      </c>
      <c r="D582" s="2" t="s">
        <v>254</v>
      </c>
      <c r="E582" s="2" t="s">
        <v>15</v>
      </c>
      <c r="F582" s="3">
        <v>6.55</v>
      </c>
      <c r="H582" s="1" t="s">
        <v>14</v>
      </c>
      <c r="I582" t="s">
        <v>103</v>
      </c>
      <c r="J582" t="s">
        <v>271</v>
      </c>
      <c r="K582" t="s">
        <v>272</v>
      </c>
      <c r="L582" t="s">
        <v>273</v>
      </c>
    </row>
    <row r="583" spans="1:12" ht="15">
      <c r="A583" s="4">
        <v>201404</v>
      </c>
      <c r="B583" t="s">
        <v>270</v>
      </c>
      <c r="C583" s="5">
        <v>6529559</v>
      </c>
      <c r="D583" s="2" t="s">
        <v>254</v>
      </c>
      <c r="E583" s="2" t="s">
        <v>15</v>
      </c>
      <c r="F583" s="3">
        <v>6.55</v>
      </c>
      <c r="H583" s="1" t="s">
        <v>14</v>
      </c>
      <c r="I583" t="s">
        <v>27</v>
      </c>
      <c r="J583" t="s">
        <v>271</v>
      </c>
      <c r="K583" t="s">
        <v>272</v>
      </c>
      <c r="L583" t="s">
        <v>273</v>
      </c>
    </row>
    <row r="584" spans="1:12" ht="15">
      <c r="A584" s="4">
        <v>201404</v>
      </c>
      <c r="B584" t="s">
        <v>270</v>
      </c>
      <c r="C584" s="5">
        <v>6529559</v>
      </c>
      <c r="D584" s="2" t="s">
        <v>254</v>
      </c>
      <c r="E584" s="2" t="s">
        <v>15</v>
      </c>
      <c r="F584" s="3">
        <v>9.05</v>
      </c>
      <c r="H584" s="1" t="s">
        <v>14</v>
      </c>
      <c r="I584" t="s">
        <v>339</v>
      </c>
      <c r="J584" t="s">
        <v>271</v>
      </c>
      <c r="K584" t="s">
        <v>272</v>
      </c>
      <c r="L584" t="s">
        <v>273</v>
      </c>
    </row>
    <row r="585" spans="1:12" ht="15">
      <c r="A585" s="4">
        <v>201404</v>
      </c>
      <c r="B585" t="s">
        <v>270</v>
      </c>
      <c r="C585" s="5">
        <v>6529559</v>
      </c>
      <c r="D585" s="2" t="s">
        <v>254</v>
      </c>
      <c r="E585" s="2" t="s">
        <v>15</v>
      </c>
      <c r="F585" s="3">
        <v>17.95</v>
      </c>
      <c r="H585" s="1" t="s">
        <v>14</v>
      </c>
      <c r="I585" t="s">
        <v>478</v>
      </c>
      <c r="J585" t="s">
        <v>271</v>
      </c>
      <c r="K585" t="s">
        <v>272</v>
      </c>
      <c r="L585" t="s">
        <v>273</v>
      </c>
    </row>
    <row r="586" spans="1:12" ht="15">
      <c r="A586" s="4">
        <v>201404</v>
      </c>
      <c r="B586" t="s">
        <v>270</v>
      </c>
      <c r="C586" s="5">
        <v>6529559</v>
      </c>
      <c r="D586" s="2" t="s">
        <v>254</v>
      </c>
      <c r="E586" s="2" t="s">
        <v>15</v>
      </c>
      <c r="F586" s="3">
        <v>19.4</v>
      </c>
      <c r="H586" s="1" t="s">
        <v>14</v>
      </c>
      <c r="I586" t="s">
        <v>479</v>
      </c>
      <c r="J586" t="s">
        <v>271</v>
      </c>
      <c r="K586" t="s">
        <v>272</v>
      </c>
      <c r="L586" t="s">
        <v>273</v>
      </c>
    </row>
    <row r="587" spans="1:12" ht="15">
      <c r="A587" s="4">
        <v>201404</v>
      </c>
      <c r="B587" t="s">
        <v>270</v>
      </c>
      <c r="C587" s="5">
        <v>6529559</v>
      </c>
      <c r="D587" s="2" t="s">
        <v>254</v>
      </c>
      <c r="E587" s="2" t="s">
        <v>15</v>
      </c>
      <c r="F587" s="3">
        <v>33.47</v>
      </c>
      <c r="H587" s="1" t="s">
        <v>14</v>
      </c>
      <c r="I587" t="s">
        <v>480</v>
      </c>
      <c r="J587" t="s">
        <v>271</v>
      </c>
      <c r="K587" t="s">
        <v>272</v>
      </c>
      <c r="L587" t="s">
        <v>273</v>
      </c>
    </row>
    <row r="588" spans="1:14" ht="15">
      <c r="A588" s="4">
        <v>201404</v>
      </c>
      <c r="B588" t="s">
        <v>270</v>
      </c>
      <c r="C588" s="5">
        <v>6529559</v>
      </c>
      <c r="D588" s="2" t="s">
        <v>254</v>
      </c>
      <c r="E588" s="2" t="s">
        <v>15</v>
      </c>
      <c r="F588" s="3">
        <v>208.88</v>
      </c>
      <c r="G588" t="s">
        <v>57</v>
      </c>
      <c r="H588" s="1" t="s">
        <v>60</v>
      </c>
      <c r="I588">
        <f>-72123/4114868/1</f>
        <v>-0.017527415217207454</v>
      </c>
      <c r="J588" t="s">
        <v>271</v>
      </c>
      <c r="K588" t="s">
        <v>272</v>
      </c>
      <c r="L588" t="s">
        <v>273</v>
      </c>
      <c r="N588" t="s">
        <v>58</v>
      </c>
    </row>
    <row r="589" spans="1:13" ht="15">
      <c r="A589" s="4">
        <v>201404</v>
      </c>
      <c r="B589" t="s">
        <v>270</v>
      </c>
      <c r="C589" s="5">
        <v>6529559</v>
      </c>
      <c r="D589" s="2" t="s">
        <v>254</v>
      </c>
      <c r="E589" s="2" t="s">
        <v>15</v>
      </c>
      <c r="F589" s="3">
        <v>371.26</v>
      </c>
      <c r="G589" t="s">
        <v>110</v>
      </c>
      <c r="H589" s="1" t="s">
        <v>60</v>
      </c>
      <c r="I589" t="s">
        <v>481</v>
      </c>
      <c r="J589" t="s">
        <v>271</v>
      </c>
      <c r="K589" t="s">
        <v>272</v>
      </c>
      <c r="L589" t="s">
        <v>273</v>
      </c>
      <c r="M589">
        <v>900947</v>
      </c>
    </row>
    <row r="590" spans="1:13" ht="15">
      <c r="A590" s="4">
        <v>201404</v>
      </c>
      <c r="B590" t="s">
        <v>270</v>
      </c>
      <c r="C590" s="5">
        <v>6529559</v>
      </c>
      <c r="D590" s="2" t="s">
        <v>254</v>
      </c>
      <c r="E590" s="2" t="s">
        <v>15</v>
      </c>
      <c r="F590" s="3">
        <v>423.63</v>
      </c>
      <c r="G590" t="s">
        <v>110</v>
      </c>
      <c r="H590" s="1" t="s">
        <v>60</v>
      </c>
      <c r="I590" t="s">
        <v>482</v>
      </c>
      <c r="J590" t="s">
        <v>271</v>
      </c>
      <c r="K590" t="s">
        <v>272</v>
      </c>
      <c r="L590" t="s">
        <v>273</v>
      </c>
      <c r="M590">
        <v>900947</v>
      </c>
    </row>
    <row r="591" spans="1:13" ht="15">
      <c r="A591" s="4">
        <v>201404</v>
      </c>
      <c r="B591" t="s">
        <v>270</v>
      </c>
      <c r="C591" s="5">
        <v>6529559</v>
      </c>
      <c r="D591" s="2" t="s">
        <v>254</v>
      </c>
      <c r="E591" s="2" t="s">
        <v>15</v>
      </c>
      <c r="F591" s="3">
        <v>599.76</v>
      </c>
      <c r="G591" t="s">
        <v>110</v>
      </c>
      <c r="H591" s="1" t="s">
        <v>60</v>
      </c>
      <c r="I591" t="s">
        <v>483</v>
      </c>
      <c r="J591" t="s">
        <v>271</v>
      </c>
      <c r="K591" t="s">
        <v>272</v>
      </c>
      <c r="L591" t="s">
        <v>273</v>
      </c>
      <c r="M591">
        <v>900947</v>
      </c>
    </row>
    <row r="592" spans="1:13" ht="15">
      <c r="A592" s="4">
        <v>201404</v>
      </c>
      <c r="B592" t="s">
        <v>270</v>
      </c>
      <c r="C592" s="5">
        <v>6529559</v>
      </c>
      <c r="D592" s="2" t="s">
        <v>254</v>
      </c>
      <c r="E592" s="2" t="s">
        <v>15</v>
      </c>
      <c r="F592" s="3">
        <v>603.32</v>
      </c>
      <c r="G592" t="s">
        <v>110</v>
      </c>
      <c r="H592" s="1" t="s">
        <v>60</v>
      </c>
      <c r="I592" t="s">
        <v>484</v>
      </c>
      <c r="J592" t="s">
        <v>271</v>
      </c>
      <c r="K592" t="s">
        <v>272</v>
      </c>
      <c r="L592" t="s">
        <v>273</v>
      </c>
      <c r="M592">
        <v>900947</v>
      </c>
    </row>
    <row r="593" spans="1:13" ht="15">
      <c r="A593" s="4">
        <v>201404</v>
      </c>
      <c r="B593" t="s">
        <v>270</v>
      </c>
      <c r="C593" s="5">
        <v>6529559</v>
      </c>
      <c r="D593" s="2" t="s">
        <v>254</v>
      </c>
      <c r="E593" s="2" t="s">
        <v>15</v>
      </c>
      <c r="F593" s="3">
        <v>642.6</v>
      </c>
      <c r="G593" t="s">
        <v>110</v>
      </c>
      <c r="H593" s="1" t="s">
        <v>60</v>
      </c>
      <c r="I593" t="s">
        <v>485</v>
      </c>
      <c r="J593" t="s">
        <v>271</v>
      </c>
      <c r="K593" t="s">
        <v>272</v>
      </c>
      <c r="L593" t="s">
        <v>273</v>
      </c>
      <c r="M593">
        <v>900947</v>
      </c>
    </row>
    <row r="594" spans="1:13" ht="15">
      <c r="A594" s="4">
        <v>201404</v>
      </c>
      <c r="B594" t="s">
        <v>270</v>
      </c>
      <c r="C594" s="5">
        <v>6529559</v>
      </c>
      <c r="D594" s="2" t="s">
        <v>254</v>
      </c>
      <c r="E594" s="2" t="s">
        <v>15</v>
      </c>
      <c r="F594" s="3">
        <v>771.14</v>
      </c>
      <c r="G594" t="s">
        <v>110</v>
      </c>
      <c r="H594" s="1" t="s">
        <v>60</v>
      </c>
      <c r="I594" t="s">
        <v>486</v>
      </c>
      <c r="J594" t="s">
        <v>271</v>
      </c>
      <c r="K594" t="s">
        <v>272</v>
      </c>
      <c r="L594" t="s">
        <v>273</v>
      </c>
      <c r="M594">
        <v>900947</v>
      </c>
    </row>
    <row r="595" spans="1:12" ht="15">
      <c r="A595" s="4">
        <v>201404</v>
      </c>
      <c r="B595" t="s">
        <v>270</v>
      </c>
      <c r="C595" s="5">
        <v>6529559</v>
      </c>
      <c r="D595" s="2" t="s">
        <v>254</v>
      </c>
      <c r="E595" s="2" t="s">
        <v>15</v>
      </c>
      <c r="F595" s="3">
        <v>1.3</v>
      </c>
      <c r="H595" s="1" t="s">
        <v>66</v>
      </c>
      <c r="I595" t="s">
        <v>67</v>
      </c>
      <c r="J595" t="s">
        <v>271</v>
      </c>
      <c r="K595" t="s">
        <v>272</v>
      </c>
      <c r="L595" t="s">
        <v>273</v>
      </c>
    </row>
    <row r="596" spans="1:14" ht="15">
      <c r="A596" s="4">
        <v>201404</v>
      </c>
      <c r="B596" t="s">
        <v>270</v>
      </c>
      <c r="C596" s="5">
        <v>6529559</v>
      </c>
      <c r="D596" s="2" t="s">
        <v>254</v>
      </c>
      <c r="E596" s="2" t="s">
        <v>15</v>
      </c>
      <c r="F596" s="3">
        <v>1.16</v>
      </c>
      <c r="G596" t="s">
        <v>57</v>
      </c>
      <c r="H596" s="1" t="s">
        <v>69</v>
      </c>
      <c r="I596">
        <f>-72123/4114868/1</f>
        <v>-0.017527415217207454</v>
      </c>
      <c r="J596" t="s">
        <v>271</v>
      </c>
      <c r="K596" t="s">
        <v>272</v>
      </c>
      <c r="L596" t="s">
        <v>273</v>
      </c>
      <c r="N596" t="s">
        <v>58</v>
      </c>
    </row>
    <row r="597" spans="1:12" ht="15">
      <c r="A597" s="4">
        <v>201404</v>
      </c>
      <c r="B597" t="s">
        <v>270</v>
      </c>
      <c r="C597" s="5">
        <v>6529559</v>
      </c>
      <c r="D597" s="2" t="s">
        <v>254</v>
      </c>
      <c r="E597" s="2" t="s">
        <v>15</v>
      </c>
      <c r="F597" s="3">
        <v>19.28</v>
      </c>
      <c r="G597" t="s">
        <v>110</v>
      </c>
      <c r="H597" s="1" t="s">
        <v>69</v>
      </c>
      <c r="I597" t="e">
        <f>-freight</f>
        <v>#NAME?</v>
      </c>
      <c r="J597" t="s">
        <v>271</v>
      </c>
      <c r="K597" t="s">
        <v>272</v>
      </c>
      <c r="L597" t="s">
        <v>273</v>
      </c>
    </row>
    <row r="598" spans="1:12" ht="15">
      <c r="A598" s="4">
        <v>201403</v>
      </c>
      <c r="B598" t="s">
        <v>270</v>
      </c>
      <c r="C598" s="5">
        <v>6529923</v>
      </c>
      <c r="D598" s="2" t="s">
        <v>487</v>
      </c>
      <c r="E598" s="2" t="s">
        <v>15</v>
      </c>
      <c r="F598" s="3">
        <v>0</v>
      </c>
      <c r="H598" s="1" t="s">
        <v>68</v>
      </c>
      <c r="J598" t="s">
        <v>271</v>
      </c>
      <c r="K598" t="s">
        <v>272</v>
      </c>
      <c r="L598" t="s">
        <v>273</v>
      </c>
    </row>
    <row r="599" spans="1:12" ht="15">
      <c r="A599" s="4">
        <v>201403</v>
      </c>
      <c r="B599" t="s">
        <v>270</v>
      </c>
      <c r="C599" s="5">
        <v>6529923</v>
      </c>
      <c r="D599" s="2" t="s">
        <v>487</v>
      </c>
      <c r="E599" s="2" t="s">
        <v>15</v>
      </c>
      <c r="F599" s="3">
        <v>6</v>
      </c>
      <c r="H599" s="1" t="s">
        <v>68</v>
      </c>
      <c r="J599" t="s">
        <v>271</v>
      </c>
      <c r="K599" t="s">
        <v>272</v>
      </c>
      <c r="L599" t="s">
        <v>273</v>
      </c>
    </row>
    <row r="600" spans="1:12" ht="15">
      <c r="A600" s="4">
        <v>201403</v>
      </c>
      <c r="B600" t="s">
        <v>270</v>
      </c>
      <c r="C600" s="5">
        <v>6529925</v>
      </c>
      <c r="D600" s="2" t="s">
        <v>488</v>
      </c>
      <c r="E600" s="2" t="s">
        <v>15</v>
      </c>
      <c r="F600" s="3">
        <v>1.63</v>
      </c>
      <c r="H600" s="1" t="s">
        <v>14</v>
      </c>
      <c r="I600" t="s">
        <v>392</v>
      </c>
      <c r="J600" t="s">
        <v>271</v>
      </c>
      <c r="K600" t="s">
        <v>272</v>
      </c>
      <c r="L600" t="s">
        <v>273</v>
      </c>
    </row>
    <row r="601" spans="1:12" ht="15">
      <c r="A601" s="4">
        <v>201403</v>
      </c>
      <c r="B601" t="s">
        <v>270</v>
      </c>
      <c r="C601" s="5">
        <v>6529925</v>
      </c>
      <c r="D601" s="2" t="s">
        <v>488</v>
      </c>
      <c r="E601" s="2" t="s">
        <v>15</v>
      </c>
      <c r="F601" s="3">
        <v>2.95</v>
      </c>
      <c r="H601" s="1" t="s">
        <v>14</v>
      </c>
      <c r="I601" t="s">
        <v>489</v>
      </c>
      <c r="J601" t="s">
        <v>271</v>
      </c>
      <c r="K601" t="s">
        <v>272</v>
      </c>
      <c r="L601" t="s">
        <v>273</v>
      </c>
    </row>
    <row r="602" spans="1:12" ht="15">
      <c r="A602" s="4">
        <v>201402</v>
      </c>
      <c r="B602" t="s">
        <v>270</v>
      </c>
      <c r="C602" s="5">
        <v>6530111</v>
      </c>
      <c r="D602" s="2" t="s">
        <v>491</v>
      </c>
      <c r="E602" s="2" t="s">
        <v>15</v>
      </c>
      <c r="F602" s="3">
        <v>13.89</v>
      </c>
      <c r="H602" s="1" t="s">
        <v>14</v>
      </c>
      <c r="I602" t="s">
        <v>490</v>
      </c>
      <c r="J602" t="s">
        <v>271</v>
      </c>
      <c r="K602" t="s">
        <v>272</v>
      </c>
      <c r="L602" t="s">
        <v>273</v>
      </c>
    </row>
    <row r="603" spans="1:12" ht="15">
      <c r="A603" s="4">
        <v>201402</v>
      </c>
      <c r="B603" t="s">
        <v>270</v>
      </c>
      <c r="C603" s="5">
        <v>6530111</v>
      </c>
      <c r="D603" s="2" t="s">
        <v>491</v>
      </c>
      <c r="E603" s="2" t="s">
        <v>15</v>
      </c>
      <c r="F603" s="3">
        <v>17.72</v>
      </c>
      <c r="H603" s="1" t="s">
        <v>14</v>
      </c>
      <c r="I603" t="s">
        <v>106</v>
      </c>
      <c r="J603" t="s">
        <v>271</v>
      </c>
      <c r="K603" t="s">
        <v>272</v>
      </c>
      <c r="L603" t="s">
        <v>273</v>
      </c>
    </row>
    <row r="604" spans="1:12" ht="15">
      <c r="A604" s="4">
        <v>201404</v>
      </c>
      <c r="B604" t="s">
        <v>270</v>
      </c>
      <c r="C604" s="5">
        <v>6530111</v>
      </c>
      <c r="D604" s="2" t="s">
        <v>491</v>
      </c>
      <c r="E604" s="2" t="s">
        <v>15</v>
      </c>
      <c r="F604" s="3">
        <v>16.51</v>
      </c>
      <c r="H604" s="1" t="s">
        <v>14</v>
      </c>
      <c r="I604" t="s">
        <v>492</v>
      </c>
      <c r="J604" t="s">
        <v>271</v>
      </c>
      <c r="K604" t="s">
        <v>272</v>
      </c>
      <c r="L604" t="s">
        <v>273</v>
      </c>
    </row>
    <row r="605" spans="1:12" ht="15">
      <c r="A605" s="4">
        <v>201404</v>
      </c>
      <c r="B605" t="s">
        <v>270</v>
      </c>
      <c r="C605" s="5">
        <v>6530111</v>
      </c>
      <c r="D605" s="2" t="s">
        <v>491</v>
      </c>
      <c r="E605" s="2" t="s">
        <v>15</v>
      </c>
      <c r="F605" s="3">
        <v>17.6</v>
      </c>
      <c r="H605" s="1" t="s">
        <v>14</v>
      </c>
      <c r="I605" t="s">
        <v>493</v>
      </c>
      <c r="J605" t="s">
        <v>271</v>
      </c>
      <c r="K605" t="s">
        <v>272</v>
      </c>
      <c r="L605" t="s">
        <v>273</v>
      </c>
    </row>
    <row r="606" spans="1:12" ht="15">
      <c r="A606" s="4">
        <v>201404</v>
      </c>
      <c r="B606" t="s">
        <v>270</v>
      </c>
      <c r="C606" s="5">
        <v>6530111</v>
      </c>
      <c r="D606" s="2" t="s">
        <v>491</v>
      </c>
      <c r="E606" s="2" t="s">
        <v>15</v>
      </c>
      <c r="F606" s="3">
        <v>700</v>
      </c>
      <c r="H606" s="1" t="s">
        <v>14</v>
      </c>
      <c r="I606" t="s">
        <v>494</v>
      </c>
      <c r="J606" t="s">
        <v>271</v>
      </c>
      <c r="K606" t="s">
        <v>272</v>
      </c>
      <c r="L606" t="s">
        <v>273</v>
      </c>
    </row>
    <row r="607" spans="1:12" ht="15">
      <c r="A607" s="4">
        <v>201405</v>
      </c>
      <c r="B607" t="s">
        <v>270</v>
      </c>
      <c r="C607" s="5">
        <v>6530111</v>
      </c>
      <c r="D607" s="2" t="s">
        <v>491</v>
      </c>
      <c r="E607" s="2" t="s">
        <v>15</v>
      </c>
      <c r="F607" s="3">
        <v>9.8</v>
      </c>
      <c r="H607" s="1" t="s">
        <v>14</v>
      </c>
      <c r="I607" t="s">
        <v>495</v>
      </c>
      <c r="J607" t="s">
        <v>271</v>
      </c>
      <c r="K607" t="s">
        <v>272</v>
      </c>
      <c r="L607" t="s">
        <v>273</v>
      </c>
    </row>
    <row r="608" spans="1:12" ht="15">
      <c r="A608" s="4">
        <v>201405</v>
      </c>
      <c r="B608" t="s">
        <v>270</v>
      </c>
      <c r="C608" s="5">
        <v>6530111</v>
      </c>
      <c r="D608" s="2" t="s">
        <v>491</v>
      </c>
      <c r="E608" s="2" t="s">
        <v>15</v>
      </c>
      <c r="F608" s="3">
        <v>39.19</v>
      </c>
      <c r="H608" s="1" t="s">
        <v>14</v>
      </c>
      <c r="I608" t="s">
        <v>496</v>
      </c>
      <c r="J608" t="s">
        <v>271</v>
      </c>
      <c r="K608" t="s">
        <v>272</v>
      </c>
      <c r="L608" t="s">
        <v>273</v>
      </c>
    </row>
    <row r="609" spans="1:12" ht="15">
      <c r="A609" s="4">
        <v>201405</v>
      </c>
      <c r="B609" t="s">
        <v>270</v>
      </c>
      <c r="C609" s="5">
        <v>6530111</v>
      </c>
      <c r="D609" s="2" t="s">
        <v>491</v>
      </c>
      <c r="E609" s="2" t="s">
        <v>15</v>
      </c>
      <c r="F609" s="3">
        <v>61.94</v>
      </c>
      <c r="H609" s="1" t="s">
        <v>14</v>
      </c>
      <c r="I609" t="s">
        <v>497</v>
      </c>
      <c r="J609" t="s">
        <v>271</v>
      </c>
      <c r="K609" t="s">
        <v>272</v>
      </c>
      <c r="L609" t="s">
        <v>273</v>
      </c>
    </row>
    <row r="610" spans="1:12" ht="15">
      <c r="A610" s="4">
        <v>201405</v>
      </c>
      <c r="B610" t="s">
        <v>270</v>
      </c>
      <c r="C610" s="5">
        <v>6530111</v>
      </c>
      <c r="D610" s="2" t="s">
        <v>491</v>
      </c>
      <c r="E610" s="2" t="s">
        <v>15</v>
      </c>
      <c r="F610" s="3">
        <v>90.46</v>
      </c>
      <c r="H610" s="1" t="s">
        <v>14</v>
      </c>
      <c r="I610" t="s">
        <v>498</v>
      </c>
      <c r="J610" t="s">
        <v>271</v>
      </c>
      <c r="K610" t="s">
        <v>272</v>
      </c>
      <c r="L610" t="s">
        <v>273</v>
      </c>
    </row>
    <row r="611" spans="1:12" ht="15">
      <c r="A611" s="4">
        <v>201405</v>
      </c>
      <c r="B611" t="s">
        <v>270</v>
      </c>
      <c r="C611" s="5">
        <v>6530111</v>
      </c>
      <c r="D611" s="2" t="s">
        <v>491</v>
      </c>
      <c r="E611" s="2" t="s">
        <v>15</v>
      </c>
      <c r="F611" s="3">
        <v>90.82</v>
      </c>
      <c r="H611" s="1" t="s">
        <v>14</v>
      </c>
      <c r="I611" t="s">
        <v>499</v>
      </c>
      <c r="J611" t="s">
        <v>271</v>
      </c>
      <c r="K611" t="s">
        <v>272</v>
      </c>
      <c r="L611" t="s">
        <v>273</v>
      </c>
    </row>
    <row r="612" spans="1:12" ht="15">
      <c r="A612" s="4">
        <v>201405</v>
      </c>
      <c r="B612" t="s">
        <v>270</v>
      </c>
      <c r="C612" s="5">
        <v>6530111</v>
      </c>
      <c r="D612" s="2" t="s">
        <v>491</v>
      </c>
      <c r="E612" s="2" t="s">
        <v>15</v>
      </c>
      <c r="F612" s="3">
        <v>153</v>
      </c>
      <c r="H612" s="1" t="s">
        <v>14</v>
      </c>
      <c r="I612" t="s">
        <v>500</v>
      </c>
      <c r="J612" t="s">
        <v>271</v>
      </c>
      <c r="K612" t="s">
        <v>272</v>
      </c>
      <c r="L612" t="s">
        <v>273</v>
      </c>
    </row>
    <row r="613" spans="1:12" ht="15">
      <c r="A613" s="4">
        <v>201405</v>
      </c>
      <c r="B613" t="s">
        <v>270</v>
      </c>
      <c r="C613" s="5">
        <v>6530111</v>
      </c>
      <c r="D613" s="2" t="s">
        <v>491</v>
      </c>
      <c r="E613" s="2" t="s">
        <v>15</v>
      </c>
      <c r="F613" s="3">
        <v>235</v>
      </c>
      <c r="H613" s="1" t="s">
        <v>14</v>
      </c>
      <c r="I613" t="s">
        <v>501</v>
      </c>
      <c r="J613" t="s">
        <v>271</v>
      </c>
      <c r="K613" t="s">
        <v>272</v>
      </c>
      <c r="L613" t="s">
        <v>273</v>
      </c>
    </row>
    <row r="614" spans="1:12" ht="15">
      <c r="A614" s="4">
        <v>201405</v>
      </c>
      <c r="B614" t="s">
        <v>270</v>
      </c>
      <c r="C614" s="5">
        <v>6530111</v>
      </c>
      <c r="D614" s="2" t="s">
        <v>491</v>
      </c>
      <c r="E614" s="2" t="s">
        <v>15</v>
      </c>
      <c r="F614" s="3">
        <v>8567</v>
      </c>
      <c r="H614" s="1" t="s">
        <v>14</v>
      </c>
      <c r="I614" t="s">
        <v>502</v>
      </c>
      <c r="J614" t="s">
        <v>271</v>
      </c>
      <c r="K614" t="s">
        <v>272</v>
      </c>
      <c r="L614" t="s">
        <v>273</v>
      </c>
    </row>
    <row r="615" spans="1:12" ht="15">
      <c r="A615" s="4">
        <v>201406</v>
      </c>
      <c r="B615" t="s">
        <v>270</v>
      </c>
      <c r="C615" s="5">
        <v>6530111</v>
      </c>
      <c r="D615" s="2" t="s">
        <v>491</v>
      </c>
      <c r="E615" s="2" t="s">
        <v>15</v>
      </c>
      <c r="F615" s="3">
        <v>7.2</v>
      </c>
      <c r="H615" s="1" t="s">
        <v>14</v>
      </c>
      <c r="I615" t="s">
        <v>379</v>
      </c>
      <c r="J615" t="s">
        <v>271</v>
      </c>
      <c r="K615" t="s">
        <v>272</v>
      </c>
      <c r="L615" t="s">
        <v>273</v>
      </c>
    </row>
    <row r="616" spans="1:12" ht="15">
      <c r="A616" s="4">
        <v>201406</v>
      </c>
      <c r="B616" t="s">
        <v>270</v>
      </c>
      <c r="C616" s="5">
        <v>6530111</v>
      </c>
      <c r="D616" s="2" t="s">
        <v>491</v>
      </c>
      <c r="E616" s="2" t="s">
        <v>15</v>
      </c>
      <c r="F616" s="3">
        <v>8.64</v>
      </c>
      <c r="H616" s="1" t="s">
        <v>14</v>
      </c>
      <c r="I616" t="s">
        <v>503</v>
      </c>
      <c r="J616" t="s">
        <v>271</v>
      </c>
      <c r="K616" t="s">
        <v>272</v>
      </c>
      <c r="L616" t="s">
        <v>273</v>
      </c>
    </row>
    <row r="617" spans="1:12" ht="15">
      <c r="A617" s="4">
        <v>201406</v>
      </c>
      <c r="B617" t="s">
        <v>270</v>
      </c>
      <c r="C617" s="5">
        <v>6530111</v>
      </c>
      <c r="D617" s="2" t="s">
        <v>491</v>
      </c>
      <c r="E617" s="2" t="s">
        <v>15</v>
      </c>
      <c r="F617" s="3">
        <v>449</v>
      </c>
      <c r="H617" s="1" t="s">
        <v>14</v>
      </c>
      <c r="I617" t="s">
        <v>504</v>
      </c>
      <c r="J617" t="s">
        <v>271</v>
      </c>
      <c r="K617" t="s">
        <v>272</v>
      </c>
      <c r="L617" t="s">
        <v>273</v>
      </c>
    </row>
    <row r="618" spans="1:12" ht="15">
      <c r="A618" s="4">
        <v>201407</v>
      </c>
      <c r="B618" t="s">
        <v>270</v>
      </c>
      <c r="C618" s="5">
        <v>6530111</v>
      </c>
      <c r="D618" s="2" t="s">
        <v>491</v>
      </c>
      <c r="E618" s="2" t="s">
        <v>15</v>
      </c>
      <c r="F618" s="3">
        <v>10.02</v>
      </c>
      <c r="H618" s="1" t="s">
        <v>14</v>
      </c>
      <c r="I618" t="s">
        <v>505</v>
      </c>
      <c r="J618" t="s">
        <v>271</v>
      </c>
      <c r="K618" t="s">
        <v>272</v>
      </c>
      <c r="L618" t="s">
        <v>273</v>
      </c>
    </row>
    <row r="619" spans="1:12" ht="15">
      <c r="A619" s="4">
        <v>201407</v>
      </c>
      <c r="B619" t="s">
        <v>270</v>
      </c>
      <c r="C619" s="5">
        <v>6530111</v>
      </c>
      <c r="D619" s="2" t="s">
        <v>491</v>
      </c>
      <c r="E619" s="2" t="s">
        <v>15</v>
      </c>
      <c r="F619" s="3">
        <v>44.02</v>
      </c>
      <c r="H619" s="1" t="s">
        <v>14</v>
      </c>
      <c r="I619" t="s">
        <v>259</v>
      </c>
      <c r="J619" t="s">
        <v>271</v>
      </c>
      <c r="K619" t="s">
        <v>272</v>
      </c>
      <c r="L619" t="s">
        <v>273</v>
      </c>
    </row>
    <row r="620" spans="1:12" ht="15">
      <c r="A620" s="4">
        <v>201407</v>
      </c>
      <c r="B620" t="s">
        <v>270</v>
      </c>
      <c r="C620" s="5">
        <v>6530111</v>
      </c>
      <c r="D620" s="2" t="s">
        <v>491</v>
      </c>
      <c r="E620" s="2" t="s">
        <v>15</v>
      </c>
      <c r="F620" s="3">
        <v>80.73</v>
      </c>
      <c r="H620" s="1" t="s">
        <v>14</v>
      </c>
      <c r="I620" t="s">
        <v>506</v>
      </c>
      <c r="J620" t="s">
        <v>271</v>
      </c>
      <c r="K620" t="s">
        <v>272</v>
      </c>
      <c r="L620" t="s">
        <v>273</v>
      </c>
    </row>
    <row r="621" spans="1:13" ht="15">
      <c r="A621" s="4">
        <v>201405</v>
      </c>
      <c r="B621" t="s">
        <v>270</v>
      </c>
      <c r="C621" s="5">
        <v>6530111</v>
      </c>
      <c r="D621" s="2" t="s">
        <v>491</v>
      </c>
      <c r="E621" s="2" t="s">
        <v>15</v>
      </c>
      <c r="F621" s="3">
        <v>680</v>
      </c>
      <c r="G621" t="s">
        <v>79</v>
      </c>
      <c r="H621" s="1" t="s">
        <v>78</v>
      </c>
      <c r="I621" t="s">
        <v>507</v>
      </c>
      <c r="J621" t="s">
        <v>271</v>
      </c>
      <c r="K621" t="s">
        <v>272</v>
      </c>
      <c r="L621" t="s">
        <v>273</v>
      </c>
      <c r="M621">
        <v>906129</v>
      </c>
    </row>
    <row r="622" spans="1:13" ht="15">
      <c r="A622" s="4">
        <v>201405</v>
      </c>
      <c r="B622" t="s">
        <v>270</v>
      </c>
      <c r="C622" s="5">
        <v>6530111</v>
      </c>
      <c r="D622" s="2" t="s">
        <v>491</v>
      </c>
      <c r="E622" s="2" t="s">
        <v>15</v>
      </c>
      <c r="F622" s="3">
        <v>2226.1</v>
      </c>
      <c r="G622" t="s">
        <v>79</v>
      </c>
      <c r="H622" s="1" t="s">
        <v>78</v>
      </c>
      <c r="I622" t="s">
        <v>508</v>
      </c>
      <c r="J622" t="s">
        <v>271</v>
      </c>
      <c r="K622" t="s">
        <v>272</v>
      </c>
      <c r="L622" t="s">
        <v>273</v>
      </c>
      <c r="M622">
        <v>905722</v>
      </c>
    </row>
    <row r="623" spans="1:13" ht="15">
      <c r="A623" s="4">
        <v>201406</v>
      </c>
      <c r="B623" t="s">
        <v>270</v>
      </c>
      <c r="C623" s="5">
        <v>6530111</v>
      </c>
      <c r="D623" s="2" t="s">
        <v>491</v>
      </c>
      <c r="E623" s="2" t="s">
        <v>15</v>
      </c>
      <c r="F623" s="3">
        <v>-6.8</v>
      </c>
      <c r="G623" t="s">
        <v>79</v>
      </c>
      <c r="H623" s="1" t="s">
        <v>78</v>
      </c>
      <c r="I623" t="s">
        <v>507</v>
      </c>
      <c r="J623" t="s">
        <v>271</v>
      </c>
      <c r="K623" t="s">
        <v>272</v>
      </c>
      <c r="L623" t="s">
        <v>273</v>
      </c>
      <c r="M623">
        <v>906129</v>
      </c>
    </row>
    <row r="624" spans="1:13" ht="15">
      <c r="A624" s="4">
        <v>201405</v>
      </c>
      <c r="B624" t="s">
        <v>270</v>
      </c>
      <c r="C624" s="5">
        <v>6530111</v>
      </c>
      <c r="D624" s="2" t="s">
        <v>491</v>
      </c>
      <c r="E624" s="2" t="s">
        <v>15</v>
      </c>
      <c r="F624" s="3">
        <v>1037.85</v>
      </c>
      <c r="G624" t="s">
        <v>79</v>
      </c>
      <c r="H624" s="1" t="s">
        <v>46</v>
      </c>
      <c r="I624" t="s">
        <v>507</v>
      </c>
      <c r="J624" t="s">
        <v>271</v>
      </c>
      <c r="K624" t="s">
        <v>272</v>
      </c>
      <c r="L624" t="s">
        <v>273</v>
      </c>
      <c r="M624">
        <v>906129</v>
      </c>
    </row>
    <row r="625" spans="1:13" ht="15">
      <c r="A625" s="4">
        <v>201405</v>
      </c>
      <c r="B625" t="s">
        <v>270</v>
      </c>
      <c r="C625" s="5">
        <v>6530111</v>
      </c>
      <c r="D625" s="2" t="s">
        <v>491</v>
      </c>
      <c r="E625" s="2" t="s">
        <v>15</v>
      </c>
      <c r="F625" s="3">
        <v>3785</v>
      </c>
      <c r="G625" t="s">
        <v>79</v>
      </c>
      <c r="H625" s="1" t="s">
        <v>46</v>
      </c>
      <c r="I625" t="s">
        <v>508</v>
      </c>
      <c r="J625" t="s">
        <v>271</v>
      </c>
      <c r="K625" t="s">
        <v>272</v>
      </c>
      <c r="L625" t="s">
        <v>273</v>
      </c>
      <c r="M625">
        <v>905722</v>
      </c>
    </row>
    <row r="626" spans="1:13" ht="15">
      <c r="A626" s="4">
        <v>201406</v>
      </c>
      <c r="B626" t="s">
        <v>270</v>
      </c>
      <c r="C626" s="5">
        <v>6530111</v>
      </c>
      <c r="D626" s="2" t="s">
        <v>491</v>
      </c>
      <c r="E626" s="2" t="s">
        <v>15</v>
      </c>
      <c r="F626" s="3">
        <v>-10.38</v>
      </c>
      <c r="G626" t="s">
        <v>79</v>
      </c>
      <c r="H626" s="1" t="s">
        <v>46</v>
      </c>
      <c r="I626" t="s">
        <v>507</v>
      </c>
      <c r="J626" t="s">
        <v>271</v>
      </c>
      <c r="K626" t="s">
        <v>272</v>
      </c>
      <c r="L626" t="s">
        <v>273</v>
      </c>
      <c r="M626">
        <v>906129</v>
      </c>
    </row>
    <row r="627" spans="1:14" ht="15">
      <c r="A627" s="4">
        <v>201404</v>
      </c>
      <c r="B627" t="s">
        <v>270</v>
      </c>
      <c r="C627" s="5">
        <v>6530111</v>
      </c>
      <c r="D627" s="2" t="s">
        <v>491</v>
      </c>
      <c r="E627" s="2" t="s">
        <v>15</v>
      </c>
      <c r="F627" s="3">
        <v>806.4</v>
      </c>
      <c r="G627" t="s">
        <v>57</v>
      </c>
      <c r="H627" s="1" t="s">
        <v>60</v>
      </c>
      <c r="I627">
        <f>-13592/377975/1</f>
        <v>-0.03596005026787486</v>
      </c>
      <c r="J627" t="s">
        <v>271</v>
      </c>
      <c r="K627" t="s">
        <v>272</v>
      </c>
      <c r="L627" t="s">
        <v>273</v>
      </c>
      <c r="N627" t="s">
        <v>58</v>
      </c>
    </row>
    <row r="628" spans="1:13" ht="15">
      <c r="A628" s="4">
        <v>201404</v>
      </c>
      <c r="B628" t="s">
        <v>270</v>
      </c>
      <c r="C628" s="5">
        <v>6530111</v>
      </c>
      <c r="D628" s="2" t="s">
        <v>491</v>
      </c>
      <c r="E628" s="2" t="s">
        <v>15</v>
      </c>
      <c r="F628" s="3">
        <v>6720</v>
      </c>
      <c r="G628" t="s">
        <v>509</v>
      </c>
      <c r="H628" s="1" t="s">
        <v>60</v>
      </c>
      <c r="I628" t="s">
        <v>510</v>
      </c>
      <c r="J628" t="s">
        <v>271</v>
      </c>
      <c r="K628" t="s">
        <v>272</v>
      </c>
      <c r="L628" t="s">
        <v>273</v>
      </c>
      <c r="M628">
        <v>901973</v>
      </c>
    </row>
    <row r="629" spans="1:13" ht="15">
      <c r="A629" s="4">
        <v>201404</v>
      </c>
      <c r="B629" t="s">
        <v>270</v>
      </c>
      <c r="C629" s="5">
        <v>6530111</v>
      </c>
      <c r="D629" s="2" t="s">
        <v>491</v>
      </c>
      <c r="E629" s="2" t="s">
        <v>15</v>
      </c>
      <c r="F629" s="3">
        <v>6720</v>
      </c>
      <c r="G629" t="s">
        <v>509</v>
      </c>
      <c r="H629" s="1" t="s">
        <v>60</v>
      </c>
      <c r="I629" t="s">
        <v>511</v>
      </c>
      <c r="J629" t="s">
        <v>271</v>
      </c>
      <c r="K629" t="s">
        <v>272</v>
      </c>
      <c r="L629" t="s">
        <v>273</v>
      </c>
      <c r="M629">
        <v>901973</v>
      </c>
    </row>
    <row r="630" spans="1:12" ht="15">
      <c r="A630" s="4">
        <v>201402</v>
      </c>
      <c r="B630" t="s">
        <v>270</v>
      </c>
      <c r="C630" s="5">
        <v>6530111</v>
      </c>
      <c r="D630" s="2" t="s">
        <v>491</v>
      </c>
      <c r="E630" s="2" t="s">
        <v>15</v>
      </c>
      <c r="F630" s="3">
        <v>0</v>
      </c>
      <c r="H630" s="1" t="s">
        <v>68</v>
      </c>
      <c r="J630" t="s">
        <v>271</v>
      </c>
      <c r="K630" t="s">
        <v>272</v>
      </c>
      <c r="L630" t="s">
        <v>273</v>
      </c>
    </row>
    <row r="631" spans="1:12" ht="15">
      <c r="A631" s="4">
        <v>201402</v>
      </c>
      <c r="B631" t="s">
        <v>270</v>
      </c>
      <c r="C631" s="5">
        <v>6530111</v>
      </c>
      <c r="D631" s="2" t="s">
        <v>491</v>
      </c>
      <c r="E631" s="2" t="s">
        <v>15</v>
      </c>
      <c r="F631" s="3">
        <v>12</v>
      </c>
      <c r="H631" s="1" t="s">
        <v>68</v>
      </c>
      <c r="J631" t="s">
        <v>271</v>
      </c>
      <c r="K631" t="s">
        <v>272</v>
      </c>
      <c r="L631" t="s">
        <v>273</v>
      </c>
    </row>
    <row r="632" spans="1:12" ht="15">
      <c r="A632" s="4">
        <v>201404</v>
      </c>
      <c r="B632" t="s">
        <v>270</v>
      </c>
      <c r="C632" s="5">
        <v>6530111</v>
      </c>
      <c r="D632" s="2" t="s">
        <v>491</v>
      </c>
      <c r="E632" s="2" t="s">
        <v>15</v>
      </c>
      <c r="F632" s="3">
        <v>0</v>
      </c>
      <c r="H632" s="1" t="s">
        <v>68</v>
      </c>
      <c r="J632" t="s">
        <v>271</v>
      </c>
      <c r="K632" t="s">
        <v>272</v>
      </c>
      <c r="L632" t="s">
        <v>273</v>
      </c>
    </row>
    <row r="633" spans="1:12" ht="15">
      <c r="A633" s="4">
        <v>201404</v>
      </c>
      <c r="B633" t="s">
        <v>270</v>
      </c>
      <c r="C633" s="5">
        <v>6530111</v>
      </c>
      <c r="D633" s="2" t="s">
        <v>491</v>
      </c>
      <c r="E633" s="2" t="s">
        <v>15</v>
      </c>
      <c r="F633" s="3">
        <v>0</v>
      </c>
      <c r="H633" s="1" t="s">
        <v>68</v>
      </c>
      <c r="J633" t="s">
        <v>271</v>
      </c>
      <c r="K633" t="s">
        <v>272</v>
      </c>
      <c r="L633" t="s">
        <v>273</v>
      </c>
    </row>
    <row r="634" spans="1:12" ht="15">
      <c r="A634" s="4">
        <v>201404</v>
      </c>
      <c r="B634" t="s">
        <v>270</v>
      </c>
      <c r="C634" s="5">
        <v>6530111</v>
      </c>
      <c r="D634" s="2" t="s">
        <v>491</v>
      </c>
      <c r="E634" s="2" t="s">
        <v>15</v>
      </c>
      <c r="F634" s="3">
        <v>12</v>
      </c>
      <c r="H634" s="1" t="s">
        <v>68</v>
      </c>
      <c r="J634" t="s">
        <v>271</v>
      </c>
      <c r="K634" t="s">
        <v>272</v>
      </c>
      <c r="L634" t="s">
        <v>273</v>
      </c>
    </row>
    <row r="635" spans="1:12" ht="15">
      <c r="A635" s="4">
        <v>201405</v>
      </c>
      <c r="B635" t="s">
        <v>270</v>
      </c>
      <c r="C635" s="5">
        <v>6530111</v>
      </c>
      <c r="D635" s="2" t="s">
        <v>491</v>
      </c>
      <c r="E635" s="2" t="s">
        <v>15</v>
      </c>
      <c r="F635" s="3">
        <v>0</v>
      </c>
      <c r="H635" s="1" t="s">
        <v>68</v>
      </c>
      <c r="J635" t="s">
        <v>271</v>
      </c>
      <c r="K635" t="s">
        <v>272</v>
      </c>
      <c r="L635" t="s">
        <v>273</v>
      </c>
    </row>
    <row r="636" spans="1:12" ht="15">
      <c r="A636" s="4">
        <v>201405</v>
      </c>
      <c r="B636" t="s">
        <v>270</v>
      </c>
      <c r="C636" s="5">
        <v>6530111</v>
      </c>
      <c r="D636" s="2" t="s">
        <v>491</v>
      </c>
      <c r="E636" s="2" t="s">
        <v>15</v>
      </c>
      <c r="F636" s="3">
        <v>0</v>
      </c>
      <c r="H636" s="1" t="s">
        <v>68</v>
      </c>
      <c r="J636" t="s">
        <v>271</v>
      </c>
      <c r="K636" t="s">
        <v>272</v>
      </c>
      <c r="L636" t="s">
        <v>273</v>
      </c>
    </row>
    <row r="637" spans="1:12" ht="15">
      <c r="A637" s="4">
        <v>201405</v>
      </c>
      <c r="B637" t="s">
        <v>270</v>
      </c>
      <c r="C637" s="5">
        <v>6530111</v>
      </c>
      <c r="D637" s="2" t="s">
        <v>491</v>
      </c>
      <c r="E637" s="2" t="s">
        <v>15</v>
      </c>
      <c r="F637" s="3">
        <v>0</v>
      </c>
      <c r="H637" s="1" t="s">
        <v>68</v>
      </c>
      <c r="J637" t="s">
        <v>271</v>
      </c>
      <c r="K637" t="s">
        <v>272</v>
      </c>
      <c r="L637" t="s">
        <v>273</v>
      </c>
    </row>
    <row r="638" spans="1:12" ht="15">
      <c r="A638" s="4">
        <v>201405</v>
      </c>
      <c r="B638" t="s">
        <v>270</v>
      </c>
      <c r="C638" s="5">
        <v>6530111</v>
      </c>
      <c r="D638" s="2" t="s">
        <v>491</v>
      </c>
      <c r="E638" s="2" t="s">
        <v>15</v>
      </c>
      <c r="F638" s="3">
        <v>0</v>
      </c>
      <c r="H638" s="1" t="s">
        <v>68</v>
      </c>
      <c r="J638" t="s">
        <v>271</v>
      </c>
      <c r="K638" t="s">
        <v>272</v>
      </c>
      <c r="L638" t="s">
        <v>273</v>
      </c>
    </row>
    <row r="639" spans="1:12" ht="15">
      <c r="A639" s="4">
        <v>201405</v>
      </c>
      <c r="B639" t="s">
        <v>270</v>
      </c>
      <c r="C639" s="5">
        <v>6530111</v>
      </c>
      <c r="D639" s="2" t="s">
        <v>491</v>
      </c>
      <c r="E639" s="2" t="s">
        <v>15</v>
      </c>
      <c r="F639" s="3">
        <v>0</v>
      </c>
      <c r="H639" s="1" t="s">
        <v>68</v>
      </c>
      <c r="J639" t="s">
        <v>271</v>
      </c>
      <c r="K639" t="s">
        <v>272</v>
      </c>
      <c r="L639" t="s">
        <v>273</v>
      </c>
    </row>
    <row r="640" spans="1:12" ht="15">
      <c r="A640" s="4">
        <v>201405</v>
      </c>
      <c r="B640" t="s">
        <v>270</v>
      </c>
      <c r="C640" s="5">
        <v>6530111</v>
      </c>
      <c r="D640" s="2" t="s">
        <v>491</v>
      </c>
      <c r="E640" s="2" t="s">
        <v>15</v>
      </c>
      <c r="F640" s="3">
        <v>0</v>
      </c>
      <c r="H640" s="1" t="s">
        <v>68</v>
      </c>
      <c r="J640" t="s">
        <v>271</v>
      </c>
      <c r="K640" t="s">
        <v>272</v>
      </c>
      <c r="L640" t="s">
        <v>273</v>
      </c>
    </row>
    <row r="641" spans="1:12" ht="15">
      <c r="A641" s="4">
        <v>201405</v>
      </c>
      <c r="B641" t="s">
        <v>270</v>
      </c>
      <c r="C641" s="5">
        <v>6530111</v>
      </c>
      <c r="D641" s="2" t="s">
        <v>491</v>
      </c>
      <c r="E641" s="2" t="s">
        <v>15</v>
      </c>
      <c r="F641" s="3">
        <v>48</v>
      </c>
      <c r="H641" s="1" t="s">
        <v>68</v>
      </c>
      <c r="J641" t="s">
        <v>271</v>
      </c>
      <c r="K641" t="s">
        <v>272</v>
      </c>
      <c r="L641" t="s">
        <v>273</v>
      </c>
    </row>
    <row r="642" spans="1:12" ht="15">
      <c r="A642" s="4">
        <v>201407</v>
      </c>
      <c r="B642" t="s">
        <v>270</v>
      </c>
      <c r="C642" s="5">
        <v>6530113</v>
      </c>
      <c r="D642" s="2" t="s">
        <v>513</v>
      </c>
      <c r="E642" s="2" t="s">
        <v>15</v>
      </c>
      <c r="F642" s="3">
        <v>-15014.4</v>
      </c>
      <c r="H642" s="1" t="s">
        <v>330</v>
      </c>
      <c r="I642" t="s">
        <v>512</v>
      </c>
      <c r="J642" t="s">
        <v>271</v>
      </c>
      <c r="K642" t="s">
        <v>272</v>
      </c>
      <c r="L642" t="s">
        <v>273</v>
      </c>
    </row>
    <row r="643" spans="1:12" ht="15">
      <c r="A643" s="4">
        <v>201402</v>
      </c>
      <c r="B643" t="s">
        <v>270</v>
      </c>
      <c r="C643" s="5">
        <v>6530113</v>
      </c>
      <c r="D643" s="2" t="s">
        <v>513</v>
      </c>
      <c r="E643" s="2" t="s">
        <v>15</v>
      </c>
      <c r="F643" s="3">
        <v>5.5</v>
      </c>
      <c r="H643" s="1" t="s">
        <v>14</v>
      </c>
      <c r="I643" t="s">
        <v>377</v>
      </c>
      <c r="J643" t="s">
        <v>271</v>
      </c>
      <c r="K643" t="s">
        <v>272</v>
      </c>
      <c r="L643" t="s">
        <v>273</v>
      </c>
    </row>
    <row r="644" spans="1:12" ht="15">
      <c r="A644" s="4">
        <v>201402</v>
      </c>
      <c r="B644" t="s">
        <v>270</v>
      </c>
      <c r="C644" s="5">
        <v>6530113</v>
      </c>
      <c r="D644" s="2" t="s">
        <v>513</v>
      </c>
      <c r="E644" s="2" t="s">
        <v>15</v>
      </c>
      <c r="F644" s="3">
        <v>8.82</v>
      </c>
      <c r="H644" s="1" t="s">
        <v>14</v>
      </c>
      <c r="I644" t="s">
        <v>514</v>
      </c>
      <c r="J644" t="s">
        <v>271</v>
      </c>
      <c r="K644" t="s">
        <v>272</v>
      </c>
      <c r="L644" t="s">
        <v>273</v>
      </c>
    </row>
    <row r="645" spans="1:12" ht="15">
      <c r="A645" s="4">
        <v>201402</v>
      </c>
      <c r="B645" t="s">
        <v>270</v>
      </c>
      <c r="C645" s="5">
        <v>6530113</v>
      </c>
      <c r="D645" s="2" t="s">
        <v>513</v>
      </c>
      <c r="E645" s="2" t="s">
        <v>15</v>
      </c>
      <c r="F645" s="3">
        <v>15.5</v>
      </c>
      <c r="H645" s="1" t="s">
        <v>14</v>
      </c>
      <c r="I645" t="s">
        <v>36</v>
      </c>
      <c r="J645" t="s">
        <v>271</v>
      </c>
      <c r="K645" t="s">
        <v>272</v>
      </c>
      <c r="L645" t="s">
        <v>273</v>
      </c>
    </row>
    <row r="646" spans="1:14" ht="15">
      <c r="A646" s="4">
        <v>201407</v>
      </c>
      <c r="B646" t="s">
        <v>270</v>
      </c>
      <c r="C646" s="5">
        <v>6530113</v>
      </c>
      <c r="D646" s="2" t="s">
        <v>513</v>
      </c>
      <c r="E646" s="2" t="s">
        <v>15</v>
      </c>
      <c r="F646" s="3">
        <v>462</v>
      </c>
      <c r="G646" t="s">
        <v>57</v>
      </c>
      <c r="H646" s="1" t="s">
        <v>60</v>
      </c>
      <c r="I646">
        <f>-18016/818369/1</f>
        <v>-0.022014519122791797</v>
      </c>
      <c r="J646" t="s">
        <v>271</v>
      </c>
      <c r="K646" t="s">
        <v>272</v>
      </c>
      <c r="L646" t="s">
        <v>273</v>
      </c>
      <c r="N646" t="s">
        <v>58</v>
      </c>
    </row>
    <row r="647" spans="1:13" ht="15">
      <c r="A647" s="4">
        <v>201407</v>
      </c>
      <c r="B647" t="s">
        <v>270</v>
      </c>
      <c r="C647" s="5">
        <v>6530113</v>
      </c>
      <c r="D647" s="2" t="s">
        <v>513</v>
      </c>
      <c r="E647" s="2" t="s">
        <v>15</v>
      </c>
      <c r="F647" s="3">
        <v>1200</v>
      </c>
      <c r="G647" t="s">
        <v>294</v>
      </c>
      <c r="H647" s="1" t="s">
        <v>60</v>
      </c>
      <c r="I647" t="s">
        <v>515</v>
      </c>
      <c r="J647" t="s">
        <v>271</v>
      </c>
      <c r="K647" t="s">
        <v>272</v>
      </c>
      <c r="L647" t="s">
        <v>273</v>
      </c>
      <c r="M647">
        <v>905012</v>
      </c>
    </row>
    <row r="648" spans="1:13" ht="15">
      <c r="A648" s="4">
        <v>201407</v>
      </c>
      <c r="B648" t="s">
        <v>270</v>
      </c>
      <c r="C648" s="5">
        <v>6530113</v>
      </c>
      <c r="D648" s="2" t="s">
        <v>513</v>
      </c>
      <c r="E648" s="2" t="s">
        <v>15</v>
      </c>
      <c r="F648" s="3">
        <v>1200</v>
      </c>
      <c r="G648" t="s">
        <v>294</v>
      </c>
      <c r="H648" s="1" t="s">
        <v>60</v>
      </c>
      <c r="I648" t="s">
        <v>516</v>
      </c>
      <c r="J648" t="s">
        <v>271</v>
      </c>
      <c r="K648" t="s">
        <v>272</v>
      </c>
      <c r="L648" t="s">
        <v>273</v>
      </c>
      <c r="M648">
        <v>905012</v>
      </c>
    </row>
    <row r="649" spans="1:13" ht="15">
      <c r="A649" s="4">
        <v>201407</v>
      </c>
      <c r="B649" t="s">
        <v>270</v>
      </c>
      <c r="C649" s="5">
        <v>6530113</v>
      </c>
      <c r="D649" s="2" t="s">
        <v>513</v>
      </c>
      <c r="E649" s="2" t="s">
        <v>15</v>
      </c>
      <c r="F649" s="3">
        <v>1200</v>
      </c>
      <c r="G649" t="s">
        <v>294</v>
      </c>
      <c r="H649" s="1" t="s">
        <v>60</v>
      </c>
      <c r="I649" t="s">
        <v>517</v>
      </c>
      <c r="J649" t="s">
        <v>271</v>
      </c>
      <c r="K649" t="s">
        <v>272</v>
      </c>
      <c r="L649" t="s">
        <v>273</v>
      </c>
      <c r="M649">
        <v>905012</v>
      </c>
    </row>
    <row r="650" spans="1:13" ht="15">
      <c r="A650" s="4">
        <v>201407</v>
      </c>
      <c r="B650" t="s">
        <v>270</v>
      </c>
      <c r="C650" s="5">
        <v>6530113</v>
      </c>
      <c r="D650" s="2" t="s">
        <v>513</v>
      </c>
      <c r="E650" s="2" t="s">
        <v>15</v>
      </c>
      <c r="F650" s="3">
        <v>4100</v>
      </c>
      <c r="G650" t="s">
        <v>294</v>
      </c>
      <c r="H650" s="1" t="s">
        <v>60</v>
      </c>
      <c r="I650" t="s">
        <v>518</v>
      </c>
      <c r="J650" t="s">
        <v>271</v>
      </c>
      <c r="K650" t="s">
        <v>272</v>
      </c>
      <c r="L650" t="s">
        <v>273</v>
      </c>
      <c r="M650">
        <v>905012</v>
      </c>
    </row>
    <row r="651" spans="1:12" ht="15">
      <c r="A651" s="4">
        <v>201403</v>
      </c>
      <c r="B651" t="s">
        <v>270</v>
      </c>
      <c r="C651" s="5">
        <v>6530114</v>
      </c>
      <c r="D651" s="2" t="s">
        <v>519</v>
      </c>
      <c r="E651" s="2" t="s">
        <v>15</v>
      </c>
      <c r="F651" s="3">
        <v>2.34</v>
      </c>
      <c r="H651" s="1" t="s">
        <v>14</v>
      </c>
      <c r="I651" t="s">
        <v>363</v>
      </c>
      <c r="J651" t="s">
        <v>271</v>
      </c>
      <c r="K651" t="s">
        <v>272</v>
      </c>
      <c r="L651" t="s">
        <v>273</v>
      </c>
    </row>
    <row r="652" spans="1:12" ht="15">
      <c r="A652" s="4">
        <v>201403</v>
      </c>
      <c r="B652" t="s">
        <v>270</v>
      </c>
      <c r="C652" s="5">
        <v>6530114</v>
      </c>
      <c r="D652" s="2" t="s">
        <v>519</v>
      </c>
      <c r="E652" s="2" t="s">
        <v>15</v>
      </c>
      <c r="F652" s="3">
        <v>10.38</v>
      </c>
      <c r="H652" s="1" t="s">
        <v>14</v>
      </c>
      <c r="I652" t="s">
        <v>319</v>
      </c>
      <c r="J652" t="s">
        <v>271</v>
      </c>
      <c r="K652" t="s">
        <v>272</v>
      </c>
      <c r="L652" t="s">
        <v>273</v>
      </c>
    </row>
    <row r="653" spans="1:12" ht="15">
      <c r="A653" s="4">
        <v>201403</v>
      </c>
      <c r="B653" t="s">
        <v>270</v>
      </c>
      <c r="C653" s="5">
        <v>6530114</v>
      </c>
      <c r="D653" s="2" t="s">
        <v>519</v>
      </c>
      <c r="E653" s="2" t="s">
        <v>15</v>
      </c>
      <c r="F653" s="3">
        <v>22.99</v>
      </c>
      <c r="H653" s="1" t="s">
        <v>14</v>
      </c>
      <c r="I653" t="s">
        <v>520</v>
      </c>
      <c r="J653" t="s">
        <v>271</v>
      </c>
      <c r="K653" t="s">
        <v>272</v>
      </c>
      <c r="L653" t="s">
        <v>273</v>
      </c>
    </row>
    <row r="654" spans="1:12" ht="15">
      <c r="A654" s="4">
        <v>201403</v>
      </c>
      <c r="B654" t="s">
        <v>270</v>
      </c>
      <c r="C654" s="5">
        <v>6530114</v>
      </c>
      <c r="D654" s="2" t="s">
        <v>519</v>
      </c>
      <c r="E654" s="2" t="s">
        <v>15</v>
      </c>
      <c r="F654" s="3">
        <v>66.22</v>
      </c>
      <c r="H654" s="1" t="s">
        <v>14</v>
      </c>
      <c r="I654" t="s">
        <v>521</v>
      </c>
      <c r="J654" t="s">
        <v>271</v>
      </c>
      <c r="K654" t="s">
        <v>272</v>
      </c>
      <c r="L654" t="s">
        <v>273</v>
      </c>
    </row>
    <row r="655" spans="1:12" ht="15">
      <c r="A655" s="4">
        <v>201403</v>
      </c>
      <c r="B655" t="s">
        <v>270</v>
      </c>
      <c r="C655" s="5">
        <v>6530114</v>
      </c>
      <c r="D655" s="2" t="s">
        <v>519</v>
      </c>
      <c r="E655" s="2" t="s">
        <v>15</v>
      </c>
      <c r="F655" s="3">
        <v>3753.6</v>
      </c>
      <c r="H655" s="1" t="s">
        <v>14</v>
      </c>
      <c r="I655" t="s">
        <v>512</v>
      </c>
      <c r="J655" t="s">
        <v>271</v>
      </c>
      <c r="K655" t="s">
        <v>272</v>
      </c>
      <c r="L655" t="s">
        <v>273</v>
      </c>
    </row>
    <row r="656" spans="1:12" ht="15">
      <c r="A656" s="4">
        <v>201403</v>
      </c>
      <c r="B656" t="s">
        <v>270</v>
      </c>
      <c r="C656" s="5">
        <v>6530115</v>
      </c>
      <c r="D656" s="2" t="s">
        <v>522</v>
      </c>
      <c r="E656" s="2" t="s">
        <v>15</v>
      </c>
      <c r="F656" s="3">
        <v>13.29</v>
      </c>
      <c r="H656" s="1" t="s">
        <v>14</v>
      </c>
      <c r="I656" t="s">
        <v>89</v>
      </c>
      <c r="J656" t="s">
        <v>271</v>
      </c>
      <c r="K656" t="s">
        <v>272</v>
      </c>
      <c r="L656" t="s">
        <v>273</v>
      </c>
    </row>
    <row r="657" spans="1:12" ht="15">
      <c r="A657" s="4">
        <v>201403</v>
      </c>
      <c r="B657" t="s">
        <v>270</v>
      </c>
      <c r="C657" s="5">
        <v>6530115</v>
      </c>
      <c r="D657" s="2" t="s">
        <v>522</v>
      </c>
      <c r="E657" s="2" t="s">
        <v>15</v>
      </c>
      <c r="F657" s="3">
        <v>40.5</v>
      </c>
      <c r="H657" s="1" t="s">
        <v>14</v>
      </c>
      <c r="I657" t="s">
        <v>523</v>
      </c>
      <c r="J657" t="s">
        <v>271</v>
      </c>
      <c r="K657" t="s">
        <v>272</v>
      </c>
      <c r="L657" t="s">
        <v>273</v>
      </c>
    </row>
    <row r="658" spans="1:12" ht="15">
      <c r="A658" s="4">
        <v>201403</v>
      </c>
      <c r="B658" t="s">
        <v>270</v>
      </c>
      <c r="C658" s="5">
        <v>6530115</v>
      </c>
      <c r="D658" s="2" t="s">
        <v>522</v>
      </c>
      <c r="E658" s="2" t="s">
        <v>15</v>
      </c>
      <c r="F658" s="3">
        <v>99.33</v>
      </c>
      <c r="H658" s="1" t="s">
        <v>14</v>
      </c>
      <c r="I658" t="s">
        <v>521</v>
      </c>
      <c r="J658" t="s">
        <v>271</v>
      </c>
      <c r="K658" t="s">
        <v>272</v>
      </c>
      <c r="L658" t="s">
        <v>273</v>
      </c>
    </row>
    <row r="659" spans="1:12" ht="15">
      <c r="A659" s="4">
        <v>201403</v>
      </c>
      <c r="B659" t="s">
        <v>270</v>
      </c>
      <c r="C659" s="5">
        <v>6530115</v>
      </c>
      <c r="D659" s="2" t="s">
        <v>522</v>
      </c>
      <c r="E659" s="2" t="s">
        <v>15</v>
      </c>
      <c r="F659" s="3">
        <v>368</v>
      </c>
      <c r="H659" s="1" t="s">
        <v>14</v>
      </c>
      <c r="I659" t="s">
        <v>524</v>
      </c>
      <c r="J659" t="s">
        <v>271</v>
      </c>
      <c r="K659" t="s">
        <v>272</v>
      </c>
      <c r="L659" t="s">
        <v>273</v>
      </c>
    </row>
    <row r="660" spans="1:12" ht="15">
      <c r="A660" s="4">
        <v>201403</v>
      </c>
      <c r="B660" t="s">
        <v>270</v>
      </c>
      <c r="C660" s="5">
        <v>6530115</v>
      </c>
      <c r="D660" s="2" t="s">
        <v>522</v>
      </c>
      <c r="E660" s="2" t="s">
        <v>15</v>
      </c>
      <c r="F660" s="3">
        <v>702</v>
      </c>
      <c r="H660" s="1" t="s">
        <v>14</v>
      </c>
      <c r="I660" t="s">
        <v>525</v>
      </c>
      <c r="J660" t="s">
        <v>271</v>
      </c>
      <c r="K660" t="s">
        <v>272</v>
      </c>
      <c r="L660" t="s">
        <v>273</v>
      </c>
    </row>
    <row r="661" spans="1:12" ht="15">
      <c r="A661" s="4">
        <v>201403</v>
      </c>
      <c r="B661" t="s">
        <v>270</v>
      </c>
      <c r="C661" s="5">
        <v>6530115</v>
      </c>
      <c r="D661" s="2" t="s">
        <v>522</v>
      </c>
      <c r="E661" s="2" t="s">
        <v>15</v>
      </c>
      <c r="F661" s="3">
        <v>7507.2</v>
      </c>
      <c r="H661" s="1" t="s">
        <v>14</v>
      </c>
      <c r="I661" t="s">
        <v>512</v>
      </c>
      <c r="J661" t="s">
        <v>271</v>
      </c>
      <c r="K661" t="s">
        <v>272</v>
      </c>
      <c r="L661" t="s">
        <v>273</v>
      </c>
    </row>
    <row r="662" spans="1:13" ht="15">
      <c r="A662" s="4">
        <v>201404</v>
      </c>
      <c r="B662" t="s">
        <v>270</v>
      </c>
      <c r="C662" s="5">
        <v>6530116</v>
      </c>
      <c r="D662" s="2" t="s">
        <v>527</v>
      </c>
      <c r="E662" s="2" t="s">
        <v>15</v>
      </c>
      <c r="F662" s="3">
        <v>8727.48</v>
      </c>
      <c r="G662" t="s">
        <v>294</v>
      </c>
      <c r="H662" s="1" t="s">
        <v>44</v>
      </c>
      <c r="I662" t="s">
        <v>526</v>
      </c>
      <c r="J662" t="s">
        <v>271</v>
      </c>
      <c r="K662" t="s">
        <v>272</v>
      </c>
      <c r="L662" t="s">
        <v>273</v>
      </c>
      <c r="M662">
        <v>902072</v>
      </c>
    </row>
    <row r="663" spans="1:12" ht="15">
      <c r="A663" s="4">
        <v>201403</v>
      </c>
      <c r="B663" t="s">
        <v>270</v>
      </c>
      <c r="C663" s="5">
        <v>6530117</v>
      </c>
      <c r="D663" s="2" t="s">
        <v>528</v>
      </c>
      <c r="E663" s="2" t="s">
        <v>15</v>
      </c>
      <c r="F663" s="3">
        <v>33.11</v>
      </c>
      <c r="H663" s="1" t="s">
        <v>14</v>
      </c>
      <c r="I663" t="s">
        <v>521</v>
      </c>
      <c r="J663" t="s">
        <v>271</v>
      </c>
      <c r="K663" t="s">
        <v>272</v>
      </c>
      <c r="L663" t="s">
        <v>273</v>
      </c>
    </row>
    <row r="664" spans="1:12" ht="15">
      <c r="A664" s="4">
        <v>201403</v>
      </c>
      <c r="B664" t="s">
        <v>270</v>
      </c>
      <c r="C664" s="5">
        <v>6530117</v>
      </c>
      <c r="D664" s="2" t="s">
        <v>528</v>
      </c>
      <c r="E664" s="2" t="s">
        <v>15</v>
      </c>
      <c r="F664" s="3">
        <v>181</v>
      </c>
      <c r="H664" s="1" t="s">
        <v>14</v>
      </c>
      <c r="I664" t="s">
        <v>529</v>
      </c>
      <c r="J664" t="s">
        <v>271</v>
      </c>
      <c r="K664" t="s">
        <v>272</v>
      </c>
      <c r="L664" t="s">
        <v>273</v>
      </c>
    </row>
    <row r="665" spans="1:12" ht="15">
      <c r="A665" s="4">
        <v>201403</v>
      </c>
      <c r="B665" t="s">
        <v>270</v>
      </c>
      <c r="C665" s="5">
        <v>6530117</v>
      </c>
      <c r="D665" s="2" t="s">
        <v>528</v>
      </c>
      <c r="E665" s="2" t="s">
        <v>15</v>
      </c>
      <c r="F665" s="3">
        <v>344</v>
      </c>
      <c r="H665" s="1" t="s">
        <v>14</v>
      </c>
      <c r="I665" t="s">
        <v>530</v>
      </c>
      <c r="J665" t="s">
        <v>271</v>
      </c>
      <c r="K665" t="s">
        <v>272</v>
      </c>
      <c r="L665" t="s">
        <v>273</v>
      </c>
    </row>
    <row r="666" spans="1:12" ht="15">
      <c r="A666" s="4">
        <v>201403</v>
      </c>
      <c r="B666" t="s">
        <v>270</v>
      </c>
      <c r="C666" s="5">
        <v>6530117</v>
      </c>
      <c r="D666" s="2" t="s">
        <v>528</v>
      </c>
      <c r="E666" s="2" t="s">
        <v>15</v>
      </c>
      <c r="F666" s="3">
        <v>3753.6</v>
      </c>
      <c r="H666" s="1" t="s">
        <v>14</v>
      </c>
      <c r="I666" t="s">
        <v>512</v>
      </c>
      <c r="J666" t="s">
        <v>271</v>
      </c>
      <c r="K666" t="s">
        <v>272</v>
      </c>
      <c r="L666" t="s">
        <v>273</v>
      </c>
    </row>
    <row r="667" spans="1:12" ht="15">
      <c r="A667" s="4">
        <v>201403</v>
      </c>
      <c r="B667" t="s">
        <v>270</v>
      </c>
      <c r="C667" s="5">
        <v>6530117</v>
      </c>
      <c r="D667" s="2" t="s">
        <v>528</v>
      </c>
      <c r="E667" s="2" t="s">
        <v>15</v>
      </c>
      <c r="F667" s="3">
        <v>4520</v>
      </c>
      <c r="H667" s="1" t="s">
        <v>14</v>
      </c>
      <c r="I667" t="s">
        <v>531</v>
      </c>
      <c r="J667" t="s">
        <v>271</v>
      </c>
      <c r="K667" t="s">
        <v>272</v>
      </c>
      <c r="L667" t="s">
        <v>273</v>
      </c>
    </row>
    <row r="668" spans="1:12" ht="15">
      <c r="A668" s="4">
        <v>201403</v>
      </c>
      <c r="B668" t="s">
        <v>270</v>
      </c>
      <c r="C668" s="5">
        <v>6530117</v>
      </c>
      <c r="D668" s="2" t="s">
        <v>528</v>
      </c>
      <c r="E668" s="2" t="s">
        <v>15</v>
      </c>
      <c r="F668" s="3">
        <v>5357</v>
      </c>
      <c r="H668" s="1" t="s">
        <v>14</v>
      </c>
      <c r="I668" t="s">
        <v>532</v>
      </c>
      <c r="J668" t="s">
        <v>271</v>
      </c>
      <c r="K668" t="s">
        <v>272</v>
      </c>
      <c r="L668" t="s">
        <v>273</v>
      </c>
    </row>
    <row r="669" spans="1:12" ht="15">
      <c r="A669" s="4">
        <v>201403</v>
      </c>
      <c r="B669" t="s">
        <v>270</v>
      </c>
      <c r="C669" s="5">
        <v>6530117</v>
      </c>
      <c r="D669" s="2" t="s">
        <v>528</v>
      </c>
      <c r="E669" s="2" t="s">
        <v>15</v>
      </c>
      <c r="F669" s="3">
        <v>14466</v>
      </c>
      <c r="H669" s="1" t="s">
        <v>14</v>
      </c>
      <c r="I669" t="s">
        <v>533</v>
      </c>
      <c r="J669" t="s">
        <v>271</v>
      </c>
      <c r="K669" t="s">
        <v>272</v>
      </c>
      <c r="L669" t="s">
        <v>273</v>
      </c>
    </row>
    <row r="670" spans="1:13" ht="15">
      <c r="A670" s="4">
        <v>201404</v>
      </c>
      <c r="B670" t="s">
        <v>270</v>
      </c>
      <c r="C670" s="5">
        <v>6530117</v>
      </c>
      <c r="D670" s="2" t="s">
        <v>528</v>
      </c>
      <c r="E670" s="2" t="s">
        <v>15</v>
      </c>
      <c r="F670" s="3">
        <v>240</v>
      </c>
      <c r="G670" t="s">
        <v>294</v>
      </c>
      <c r="H670" s="1" t="s">
        <v>44</v>
      </c>
      <c r="I670" t="s">
        <v>534</v>
      </c>
      <c r="J670" t="s">
        <v>271</v>
      </c>
      <c r="K670" t="s">
        <v>272</v>
      </c>
      <c r="L670" t="s">
        <v>273</v>
      </c>
      <c r="M670">
        <v>902114</v>
      </c>
    </row>
    <row r="671" spans="1:12" ht="15">
      <c r="A671" s="4">
        <v>201404</v>
      </c>
      <c r="B671" t="s">
        <v>270</v>
      </c>
      <c r="C671" s="5">
        <v>6530118</v>
      </c>
      <c r="D671" s="2" t="s">
        <v>536</v>
      </c>
      <c r="E671" s="2" t="s">
        <v>15</v>
      </c>
      <c r="F671" s="3">
        <v>-28932</v>
      </c>
      <c r="H671" s="1" t="s">
        <v>330</v>
      </c>
      <c r="I671" t="s">
        <v>535</v>
      </c>
      <c r="J671" t="s">
        <v>271</v>
      </c>
      <c r="K671" t="s">
        <v>272</v>
      </c>
      <c r="L671" t="s">
        <v>273</v>
      </c>
    </row>
    <row r="672" spans="1:12" ht="15">
      <c r="A672" s="4">
        <v>201404</v>
      </c>
      <c r="B672" t="s">
        <v>270</v>
      </c>
      <c r="C672" s="5">
        <v>6530118</v>
      </c>
      <c r="D672" s="2" t="s">
        <v>536</v>
      </c>
      <c r="E672" s="2" t="s">
        <v>15</v>
      </c>
      <c r="F672" s="3">
        <v>-5357</v>
      </c>
      <c r="H672" s="1" t="s">
        <v>330</v>
      </c>
      <c r="I672" t="s">
        <v>537</v>
      </c>
      <c r="J672" t="s">
        <v>271</v>
      </c>
      <c r="K672" t="s">
        <v>272</v>
      </c>
      <c r="L672" t="s">
        <v>273</v>
      </c>
    </row>
    <row r="673" spans="1:12" ht="15">
      <c r="A673" s="4">
        <v>201404</v>
      </c>
      <c r="B673" t="s">
        <v>270</v>
      </c>
      <c r="C673" s="5">
        <v>6530118</v>
      </c>
      <c r="D673" s="2" t="s">
        <v>536</v>
      </c>
      <c r="E673" s="2" t="s">
        <v>15</v>
      </c>
      <c r="F673" s="3">
        <v>-4520</v>
      </c>
      <c r="H673" s="1" t="s">
        <v>330</v>
      </c>
      <c r="I673" t="s">
        <v>538</v>
      </c>
      <c r="J673" t="s">
        <v>271</v>
      </c>
      <c r="K673" t="s">
        <v>272</v>
      </c>
      <c r="L673" t="s">
        <v>273</v>
      </c>
    </row>
    <row r="674" spans="1:12" ht="15">
      <c r="A674" s="4">
        <v>201404</v>
      </c>
      <c r="B674" t="s">
        <v>270</v>
      </c>
      <c r="C674" s="5">
        <v>6530118</v>
      </c>
      <c r="D674" s="2" t="s">
        <v>536</v>
      </c>
      <c r="E674" s="2" t="s">
        <v>15</v>
      </c>
      <c r="F674" s="3">
        <v>-970</v>
      </c>
      <c r="H674" s="1" t="s">
        <v>330</v>
      </c>
      <c r="I674" t="s">
        <v>539</v>
      </c>
      <c r="J674" t="s">
        <v>271</v>
      </c>
      <c r="K674" t="s">
        <v>272</v>
      </c>
      <c r="L674" t="s">
        <v>273</v>
      </c>
    </row>
    <row r="675" spans="1:12" ht="15">
      <c r="A675" s="4">
        <v>201404</v>
      </c>
      <c r="B675" t="s">
        <v>270</v>
      </c>
      <c r="C675" s="5">
        <v>6530118</v>
      </c>
      <c r="D675" s="2" t="s">
        <v>536</v>
      </c>
      <c r="E675" s="2" t="s">
        <v>15</v>
      </c>
      <c r="F675" s="3">
        <v>-758</v>
      </c>
      <c r="H675" s="1" t="s">
        <v>330</v>
      </c>
      <c r="I675" t="s">
        <v>540</v>
      </c>
      <c r="J675" t="s">
        <v>271</v>
      </c>
      <c r="K675" t="s">
        <v>272</v>
      </c>
      <c r="L675" t="s">
        <v>273</v>
      </c>
    </row>
    <row r="676" spans="1:12" ht="15">
      <c r="A676" s="4">
        <v>201404</v>
      </c>
      <c r="B676" t="s">
        <v>270</v>
      </c>
      <c r="C676" s="5">
        <v>6530118</v>
      </c>
      <c r="D676" s="2" t="s">
        <v>536</v>
      </c>
      <c r="E676" s="2" t="s">
        <v>15</v>
      </c>
      <c r="F676" s="3">
        <v>-400</v>
      </c>
      <c r="H676" s="1" t="s">
        <v>330</v>
      </c>
      <c r="I676" t="s">
        <v>541</v>
      </c>
      <c r="J676" t="s">
        <v>271</v>
      </c>
      <c r="K676" t="s">
        <v>272</v>
      </c>
      <c r="L676" t="s">
        <v>273</v>
      </c>
    </row>
    <row r="677" spans="1:12" ht="15">
      <c r="A677" s="4">
        <v>201404</v>
      </c>
      <c r="B677" t="s">
        <v>270</v>
      </c>
      <c r="C677" s="5">
        <v>6530118</v>
      </c>
      <c r="D677" s="2" t="s">
        <v>536</v>
      </c>
      <c r="E677" s="2" t="s">
        <v>15</v>
      </c>
      <c r="F677" s="3">
        <v>-296</v>
      </c>
      <c r="H677" s="1" t="s">
        <v>330</v>
      </c>
      <c r="I677" t="s">
        <v>542</v>
      </c>
      <c r="J677" t="s">
        <v>271</v>
      </c>
      <c r="K677" t="s">
        <v>272</v>
      </c>
      <c r="L677" t="s">
        <v>273</v>
      </c>
    </row>
    <row r="678" spans="1:12" ht="15">
      <c r="A678" s="4">
        <v>201404</v>
      </c>
      <c r="B678" t="s">
        <v>270</v>
      </c>
      <c r="C678" s="5">
        <v>6530118</v>
      </c>
      <c r="D678" s="2" t="s">
        <v>536</v>
      </c>
      <c r="E678" s="2" t="s">
        <v>15</v>
      </c>
      <c r="F678" s="3">
        <v>600</v>
      </c>
      <c r="H678" s="1" t="s">
        <v>14</v>
      </c>
      <c r="I678" t="s">
        <v>541</v>
      </c>
      <c r="J678" t="s">
        <v>271</v>
      </c>
      <c r="K678" t="s">
        <v>272</v>
      </c>
      <c r="L678" t="s">
        <v>273</v>
      </c>
    </row>
    <row r="679" spans="1:12" ht="15">
      <c r="A679" s="4">
        <v>201404</v>
      </c>
      <c r="B679" t="s">
        <v>270</v>
      </c>
      <c r="C679" s="5">
        <v>6530118</v>
      </c>
      <c r="D679" s="2" t="s">
        <v>536</v>
      </c>
      <c r="E679" s="2" t="s">
        <v>15</v>
      </c>
      <c r="F679" s="3">
        <v>782</v>
      </c>
      <c r="H679" s="1" t="s">
        <v>14</v>
      </c>
      <c r="I679" t="s">
        <v>542</v>
      </c>
      <c r="J679" t="s">
        <v>271</v>
      </c>
      <c r="K679" t="s">
        <v>272</v>
      </c>
      <c r="L679" t="s">
        <v>273</v>
      </c>
    </row>
    <row r="680" spans="1:12" ht="15">
      <c r="A680" s="4">
        <v>201404</v>
      </c>
      <c r="B680" t="s">
        <v>270</v>
      </c>
      <c r="C680" s="5">
        <v>6530118</v>
      </c>
      <c r="D680" s="2" t="s">
        <v>536</v>
      </c>
      <c r="E680" s="2" t="s">
        <v>15</v>
      </c>
      <c r="F680" s="3">
        <v>1137</v>
      </c>
      <c r="H680" s="1" t="s">
        <v>14</v>
      </c>
      <c r="I680" t="s">
        <v>540</v>
      </c>
      <c r="J680" t="s">
        <v>271</v>
      </c>
      <c r="K680" t="s">
        <v>272</v>
      </c>
      <c r="L680" t="s">
        <v>273</v>
      </c>
    </row>
    <row r="681" spans="1:12" ht="15">
      <c r="A681" s="4">
        <v>201404</v>
      </c>
      <c r="B681" t="s">
        <v>270</v>
      </c>
      <c r="C681" s="5">
        <v>6530118</v>
      </c>
      <c r="D681" s="2" t="s">
        <v>536</v>
      </c>
      <c r="E681" s="2" t="s">
        <v>15</v>
      </c>
      <c r="F681" s="3">
        <v>14466</v>
      </c>
      <c r="H681" s="1" t="s">
        <v>14</v>
      </c>
      <c r="I681" t="s">
        <v>535</v>
      </c>
      <c r="J681" t="s">
        <v>271</v>
      </c>
      <c r="K681" t="s">
        <v>272</v>
      </c>
      <c r="L681" t="s">
        <v>273</v>
      </c>
    </row>
    <row r="682" spans="1:12" ht="15">
      <c r="A682" s="4">
        <v>201404</v>
      </c>
      <c r="B682" t="s">
        <v>270</v>
      </c>
      <c r="C682" s="5">
        <v>6530118</v>
      </c>
      <c r="D682" s="2" t="s">
        <v>536</v>
      </c>
      <c r="E682" s="2" t="s">
        <v>15</v>
      </c>
      <c r="F682" s="3">
        <v>-5357</v>
      </c>
      <c r="H682" s="1" t="s">
        <v>43</v>
      </c>
      <c r="I682" t="s">
        <v>537</v>
      </c>
      <c r="J682" t="s">
        <v>271</v>
      </c>
      <c r="K682" t="s">
        <v>272</v>
      </c>
      <c r="L682" t="s">
        <v>273</v>
      </c>
    </row>
    <row r="683" spans="1:12" ht="15">
      <c r="A683" s="4">
        <v>201404</v>
      </c>
      <c r="B683" t="s">
        <v>270</v>
      </c>
      <c r="C683" s="5">
        <v>6530118</v>
      </c>
      <c r="D683" s="2" t="s">
        <v>536</v>
      </c>
      <c r="E683" s="2" t="s">
        <v>15</v>
      </c>
      <c r="F683" s="3">
        <v>-4520</v>
      </c>
      <c r="H683" s="1" t="s">
        <v>43</v>
      </c>
      <c r="I683" t="s">
        <v>538</v>
      </c>
      <c r="J683" t="s">
        <v>271</v>
      </c>
      <c r="K683" t="s">
        <v>272</v>
      </c>
      <c r="L683" t="s">
        <v>273</v>
      </c>
    </row>
    <row r="684" spans="1:12" ht="15">
      <c r="A684" s="4">
        <v>201404</v>
      </c>
      <c r="B684" t="s">
        <v>270</v>
      </c>
      <c r="C684" s="5">
        <v>6530118</v>
      </c>
      <c r="D684" s="2" t="s">
        <v>536</v>
      </c>
      <c r="E684" s="2" t="s">
        <v>15</v>
      </c>
      <c r="F684" s="3">
        <v>-1137</v>
      </c>
      <c r="H684" s="1" t="s">
        <v>43</v>
      </c>
      <c r="I684" t="s">
        <v>540</v>
      </c>
      <c r="J684" t="s">
        <v>271</v>
      </c>
      <c r="K684" t="s">
        <v>272</v>
      </c>
      <c r="L684" t="s">
        <v>273</v>
      </c>
    </row>
    <row r="685" spans="1:13" ht="15">
      <c r="A685" s="4">
        <v>201404</v>
      </c>
      <c r="B685" t="s">
        <v>270</v>
      </c>
      <c r="C685" s="5">
        <v>6530118</v>
      </c>
      <c r="D685" s="2" t="s">
        <v>536</v>
      </c>
      <c r="E685" s="2" t="s">
        <v>15</v>
      </c>
      <c r="F685" s="3">
        <v>160</v>
      </c>
      <c r="G685" t="s">
        <v>294</v>
      </c>
      <c r="H685" s="1" t="s">
        <v>44</v>
      </c>
      <c r="I685" t="s">
        <v>543</v>
      </c>
      <c r="J685" t="s">
        <v>271</v>
      </c>
      <c r="K685" t="s">
        <v>272</v>
      </c>
      <c r="L685" t="s">
        <v>273</v>
      </c>
      <c r="M685">
        <v>904190</v>
      </c>
    </row>
    <row r="686" spans="1:13" ht="15">
      <c r="A686" s="4">
        <v>201404</v>
      </c>
      <c r="B686" t="s">
        <v>270</v>
      </c>
      <c r="C686" s="5">
        <v>6530118</v>
      </c>
      <c r="D686" s="2" t="s">
        <v>536</v>
      </c>
      <c r="E686" s="2" t="s">
        <v>15</v>
      </c>
      <c r="F686" s="3">
        <v>200</v>
      </c>
      <c r="G686" t="s">
        <v>294</v>
      </c>
      <c r="H686" s="1" t="s">
        <v>44</v>
      </c>
      <c r="I686" t="s">
        <v>544</v>
      </c>
      <c r="J686" t="s">
        <v>271</v>
      </c>
      <c r="K686" t="s">
        <v>272</v>
      </c>
      <c r="L686" t="s">
        <v>273</v>
      </c>
      <c r="M686">
        <v>904190</v>
      </c>
    </row>
    <row r="687" spans="1:13" ht="15">
      <c r="A687" s="4">
        <v>201404</v>
      </c>
      <c r="B687" t="s">
        <v>270</v>
      </c>
      <c r="C687" s="5">
        <v>6530118</v>
      </c>
      <c r="D687" s="2" t="s">
        <v>536</v>
      </c>
      <c r="E687" s="2" t="s">
        <v>15</v>
      </c>
      <c r="F687" s="3">
        <v>300</v>
      </c>
      <c r="G687" t="s">
        <v>294</v>
      </c>
      <c r="H687" s="1" t="s">
        <v>44</v>
      </c>
      <c r="I687" t="e">
        <f>-labor-Stack DISC,acid Dip and Cean Stack DISC,Lubricate</f>
        <v>#NAME?</v>
      </c>
      <c r="J687" t="s">
        <v>271</v>
      </c>
      <c r="K687" t="s">
        <v>272</v>
      </c>
      <c r="L687" t="s">
        <v>273</v>
      </c>
      <c r="M687">
        <v>904190</v>
      </c>
    </row>
    <row r="688" spans="1:13" ht="15">
      <c r="A688" s="4">
        <v>201404</v>
      </c>
      <c r="B688" t="s">
        <v>270</v>
      </c>
      <c r="C688" s="5">
        <v>6530118</v>
      </c>
      <c r="D688" s="2" t="s">
        <v>536</v>
      </c>
      <c r="E688" s="2" t="s">
        <v>15</v>
      </c>
      <c r="F688" s="3">
        <v>200</v>
      </c>
      <c r="G688" t="s">
        <v>294</v>
      </c>
      <c r="H688" s="1" t="s">
        <v>78</v>
      </c>
      <c r="I688" t="s">
        <v>545</v>
      </c>
      <c r="J688" t="s">
        <v>271</v>
      </c>
      <c r="K688" t="s">
        <v>272</v>
      </c>
      <c r="L688" t="s">
        <v>273</v>
      </c>
      <c r="M688">
        <v>904190</v>
      </c>
    </row>
    <row r="689" spans="1:12" ht="15">
      <c r="A689" s="4">
        <v>201403</v>
      </c>
      <c r="B689" t="s">
        <v>270</v>
      </c>
      <c r="C689" s="5">
        <v>6530119</v>
      </c>
      <c r="D689" s="2" t="s">
        <v>546</v>
      </c>
      <c r="E689" s="2" t="s">
        <v>15</v>
      </c>
      <c r="F689" s="3">
        <v>9.28</v>
      </c>
      <c r="H689" s="1" t="s">
        <v>14</v>
      </c>
      <c r="I689" t="s">
        <v>30</v>
      </c>
      <c r="J689" t="s">
        <v>271</v>
      </c>
      <c r="K689" t="s">
        <v>272</v>
      </c>
      <c r="L689" t="s">
        <v>273</v>
      </c>
    </row>
    <row r="690" spans="1:12" ht="15">
      <c r="A690" s="4">
        <v>201404</v>
      </c>
      <c r="B690" t="s">
        <v>270</v>
      </c>
      <c r="C690" s="5">
        <v>6530122</v>
      </c>
      <c r="D690" s="2" t="s">
        <v>547</v>
      </c>
      <c r="E690" s="2" t="s">
        <v>15</v>
      </c>
      <c r="F690" s="3">
        <v>0</v>
      </c>
      <c r="H690" s="1" t="s">
        <v>68</v>
      </c>
      <c r="J690" t="s">
        <v>271</v>
      </c>
      <c r="K690" t="s">
        <v>272</v>
      </c>
      <c r="L690" t="s">
        <v>273</v>
      </c>
    </row>
    <row r="691" spans="1:12" ht="15">
      <c r="A691" s="4">
        <v>201404</v>
      </c>
      <c r="B691" t="s">
        <v>270</v>
      </c>
      <c r="C691" s="5">
        <v>6530122</v>
      </c>
      <c r="D691" s="2" t="s">
        <v>547</v>
      </c>
      <c r="E691" s="2" t="s">
        <v>15</v>
      </c>
      <c r="F691" s="3">
        <v>6</v>
      </c>
      <c r="H691" s="1" t="s">
        <v>68</v>
      </c>
      <c r="J691" t="s">
        <v>271</v>
      </c>
      <c r="K691" t="s">
        <v>272</v>
      </c>
      <c r="L691" t="s">
        <v>273</v>
      </c>
    </row>
    <row r="692" spans="1:12" ht="15">
      <c r="A692" s="4">
        <v>201403</v>
      </c>
      <c r="B692" t="s">
        <v>270</v>
      </c>
      <c r="C692" s="5">
        <v>6530123</v>
      </c>
      <c r="D692" s="2" t="s">
        <v>549</v>
      </c>
      <c r="E692" s="2" t="s">
        <v>15</v>
      </c>
      <c r="F692" s="3">
        <v>3.15</v>
      </c>
      <c r="H692" s="1" t="s">
        <v>14</v>
      </c>
      <c r="I692" t="s">
        <v>548</v>
      </c>
      <c r="J692" t="s">
        <v>271</v>
      </c>
      <c r="K692" t="s">
        <v>272</v>
      </c>
      <c r="L692" t="s">
        <v>273</v>
      </c>
    </row>
    <row r="693" spans="1:12" ht="15">
      <c r="A693" s="4">
        <v>201403</v>
      </c>
      <c r="B693" t="s">
        <v>270</v>
      </c>
      <c r="C693" s="5">
        <v>6530123</v>
      </c>
      <c r="D693" s="2" t="s">
        <v>549</v>
      </c>
      <c r="E693" s="2" t="s">
        <v>15</v>
      </c>
      <c r="F693" s="3">
        <v>10.08</v>
      </c>
      <c r="H693" s="1" t="s">
        <v>14</v>
      </c>
      <c r="I693" t="s">
        <v>101</v>
      </c>
      <c r="J693" t="s">
        <v>271</v>
      </c>
      <c r="K693" t="s">
        <v>272</v>
      </c>
      <c r="L693" t="s">
        <v>273</v>
      </c>
    </row>
    <row r="694" spans="1:13" ht="15">
      <c r="A694" s="4">
        <v>201405</v>
      </c>
      <c r="B694" t="s">
        <v>270</v>
      </c>
      <c r="C694" s="5">
        <v>6530140</v>
      </c>
      <c r="D694" s="2" t="s">
        <v>552</v>
      </c>
      <c r="E694" s="2" t="s">
        <v>15</v>
      </c>
      <c r="F694" s="3">
        <v>4718.96</v>
      </c>
      <c r="G694" t="s">
        <v>550</v>
      </c>
      <c r="H694" s="1" t="s">
        <v>44</v>
      </c>
      <c r="I694" t="s">
        <v>551</v>
      </c>
      <c r="J694" t="s">
        <v>271</v>
      </c>
      <c r="K694" t="s">
        <v>272</v>
      </c>
      <c r="L694" t="s">
        <v>273</v>
      </c>
      <c r="M694">
        <v>905738</v>
      </c>
    </row>
    <row r="695" spans="1:13" ht="15">
      <c r="A695" s="4">
        <v>201405</v>
      </c>
      <c r="B695" t="s">
        <v>270</v>
      </c>
      <c r="C695" s="5">
        <v>6530140</v>
      </c>
      <c r="D695" s="2" t="s">
        <v>552</v>
      </c>
      <c r="E695" s="2" t="s">
        <v>15</v>
      </c>
      <c r="F695" s="3">
        <v>59172</v>
      </c>
      <c r="G695" t="s">
        <v>550</v>
      </c>
      <c r="H695" s="1" t="s">
        <v>44</v>
      </c>
      <c r="I695" t="s">
        <v>553</v>
      </c>
      <c r="J695" t="s">
        <v>271</v>
      </c>
      <c r="K695" t="s">
        <v>272</v>
      </c>
      <c r="L695" t="s">
        <v>273</v>
      </c>
      <c r="M695">
        <v>905031</v>
      </c>
    </row>
    <row r="696" spans="1:13" ht="15">
      <c r="A696" s="4">
        <v>201406</v>
      </c>
      <c r="B696" t="s">
        <v>270</v>
      </c>
      <c r="C696" s="5">
        <v>6530140</v>
      </c>
      <c r="D696" s="2" t="s">
        <v>552</v>
      </c>
      <c r="E696" s="2" t="s">
        <v>15</v>
      </c>
      <c r="F696" s="3">
        <v>12390</v>
      </c>
      <c r="G696" t="s">
        <v>554</v>
      </c>
      <c r="H696" s="1" t="s">
        <v>44</v>
      </c>
      <c r="I696" t="s">
        <v>555</v>
      </c>
      <c r="J696" t="s">
        <v>271</v>
      </c>
      <c r="K696" t="s">
        <v>272</v>
      </c>
      <c r="L696" t="s">
        <v>273</v>
      </c>
      <c r="M696">
        <v>900798</v>
      </c>
    </row>
    <row r="697" spans="1:13" ht="15">
      <c r="A697" s="4">
        <v>201407</v>
      </c>
      <c r="B697" t="s">
        <v>270</v>
      </c>
      <c r="C697" s="5">
        <v>6530140</v>
      </c>
      <c r="D697" s="2" t="s">
        <v>552</v>
      </c>
      <c r="E697" s="2" t="s">
        <v>15</v>
      </c>
      <c r="F697" s="3">
        <v>2360</v>
      </c>
      <c r="G697" t="s">
        <v>554</v>
      </c>
      <c r="H697" s="1" t="s">
        <v>44</v>
      </c>
      <c r="I697" t="s">
        <v>555</v>
      </c>
      <c r="J697" t="s">
        <v>271</v>
      </c>
      <c r="K697" t="s">
        <v>272</v>
      </c>
      <c r="L697" t="s">
        <v>273</v>
      </c>
      <c r="M697">
        <v>900798</v>
      </c>
    </row>
    <row r="698" spans="1:13" ht="15">
      <c r="A698" s="4">
        <v>201405</v>
      </c>
      <c r="B698" t="s">
        <v>270</v>
      </c>
      <c r="C698" s="5">
        <v>6530140</v>
      </c>
      <c r="D698" s="2" t="s">
        <v>552</v>
      </c>
      <c r="E698" s="2" t="s">
        <v>15</v>
      </c>
      <c r="F698" s="3">
        <v>245</v>
      </c>
      <c r="G698" t="s">
        <v>550</v>
      </c>
      <c r="H698" s="1" t="s">
        <v>78</v>
      </c>
      <c r="I698" t="s">
        <v>556</v>
      </c>
      <c r="J698" t="s">
        <v>271</v>
      </c>
      <c r="K698" t="s">
        <v>272</v>
      </c>
      <c r="L698" t="s">
        <v>273</v>
      </c>
      <c r="M698">
        <v>905032</v>
      </c>
    </row>
    <row r="699" spans="1:13" ht="15">
      <c r="A699" s="4">
        <v>201405</v>
      </c>
      <c r="B699" t="s">
        <v>270</v>
      </c>
      <c r="C699" s="5">
        <v>6530140</v>
      </c>
      <c r="D699" s="2" t="s">
        <v>552</v>
      </c>
      <c r="E699" s="2" t="s">
        <v>15</v>
      </c>
      <c r="F699" s="3">
        <v>845.11</v>
      </c>
      <c r="G699" t="s">
        <v>550</v>
      </c>
      <c r="H699" s="1" t="s">
        <v>78</v>
      </c>
      <c r="I699" t="s">
        <v>551</v>
      </c>
      <c r="J699" t="s">
        <v>271</v>
      </c>
      <c r="K699" t="s">
        <v>272</v>
      </c>
      <c r="L699" t="s">
        <v>273</v>
      </c>
      <c r="M699">
        <v>905738</v>
      </c>
    </row>
    <row r="700" spans="1:14" ht="15">
      <c r="A700" s="4">
        <v>201403</v>
      </c>
      <c r="B700" t="s">
        <v>270</v>
      </c>
      <c r="C700" s="5">
        <v>6530140</v>
      </c>
      <c r="D700" s="2" t="s">
        <v>552</v>
      </c>
      <c r="E700" s="2" t="s">
        <v>15</v>
      </c>
      <c r="F700" s="3">
        <v>0.05</v>
      </c>
      <c r="G700" t="s">
        <v>57</v>
      </c>
      <c r="H700" s="1" t="s">
        <v>60</v>
      </c>
      <c r="I700">
        <f>-72123/4102770/2</f>
        <v>-0.008789549499484494</v>
      </c>
      <c r="J700" t="s">
        <v>271</v>
      </c>
      <c r="K700" t="s">
        <v>272</v>
      </c>
      <c r="L700" t="s">
        <v>273</v>
      </c>
      <c r="N700" t="s">
        <v>58</v>
      </c>
    </row>
    <row r="701" spans="1:13" ht="15">
      <c r="A701" s="4">
        <v>201403</v>
      </c>
      <c r="B701" t="s">
        <v>270</v>
      </c>
      <c r="C701" s="5">
        <v>6530140</v>
      </c>
      <c r="D701" s="2" t="s">
        <v>552</v>
      </c>
      <c r="E701" s="2" t="s">
        <v>15</v>
      </c>
      <c r="F701" s="3">
        <v>10.87</v>
      </c>
      <c r="G701" t="s">
        <v>110</v>
      </c>
      <c r="H701" s="1" t="s">
        <v>60</v>
      </c>
      <c r="I701" t="s">
        <v>557</v>
      </c>
      <c r="J701" t="s">
        <v>271</v>
      </c>
      <c r="K701" t="s">
        <v>272</v>
      </c>
      <c r="L701" t="s">
        <v>273</v>
      </c>
      <c r="M701">
        <v>900902</v>
      </c>
    </row>
    <row r="702" spans="1:13" ht="15">
      <c r="A702" s="4">
        <v>201403</v>
      </c>
      <c r="B702" t="s">
        <v>270</v>
      </c>
      <c r="C702" s="5">
        <v>6530140</v>
      </c>
      <c r="D702" s="2" t="s">
        <v>552</v>
      </c>
      <c r="E702" s="2" t="s">
        <v>15</v>
      </c>
      <c r="F702" s="3">
        <v>16.46</v>
      </c>
      <c r="G702" t="s">
        <v>110</v>
      </c>
      <c r="H702" s="1" t="s">
        <v>60</v>
      </c>
      <c r="I702" t="s">
        <v>558</v>
      </c>
      <c r="J702" t="s">
        <v>271</v>
      </c>
      <c r="K702" t="s">
        <v>272</v>
      </c>
      <c r="L702" t="s">
        <v>273</v>
      </c>
      <c r="M702">
        <v>900902</v>
      </c>
    </row>
    <row r="703" spans="1:14" ht="15">
      <c r="A703" s="4">
        <v>201403</v>
      </c>
      <c r="B703" t="s">
        <v>270</v>
      </c>
      <c r="C703" s="5">
        <v>6530140</v>
      </c>
      <c r="D703" s="2" t="s">
        <v>552</v>
      </c>
      <c r="E703" s="2" t="s">
        <v>15</v>
      </c>
      <c r="F703" s="3">
        <v>29.33</v>
      </c>
      <c r="G703" t="s">
        <v>57</v>
      </c>
      <c r="H703" s="1" t="s">
        <v>60</v>
      </c>
      <c r="I703">
        <f>-72123/4108194/1</f>
        <v>-0.017555889522257225</v>
      </c>
      <c r="J703" t="s">
        <v>271</v>
      </c>
      <c r="K703" t="s">
        <v>272</v>
      </c>
      <c r="L703" t="s">
        <v>273</v>
      </c>
      <c r="N703" t="s">
        <v>58</v>
      </c>
    </row>
    <row r="704" spans="1:14" ht="15">
      <c r="A704" s="4">
        <v>201403</v>
      </c>
      <c r="B704" t="s">
        <v>270</v>
      </c>
      <c r="C704" s="5">
        <v>6530140</v>
      </c>
      <c r="D704" s="2" t="s">
        <v>552</v>
      </c>
      <c r="E704" s="2" t="s">
        <v>15</v>
      </c>
      <c r="F704" s="3">
        <v>37.27</v>
      </c>
      <c r="G704" t="s">
        <v>57</v>
      </c>
      <c r="H704" s="1" t="s">
        <v>60</v>
      </c>
      <c r="I704">
        <f>-66640/372907/1</f>
        <v>-0.17870407366984262</v>
      </c>
      <c r="J704" t="s">
        <v>271</v>
      </c>
      <c r="K704" t="s">
        <v>272</v>
      </c>
      <c r="L704" t="s">
        <v>273</v>
      </c>
      <c r="N704" t="s">
        <v>58</v>
      </c>
    </row>
    <row r="705" spans="1:14" ht="15">
      <c r="A705" s="4">
        <v>201403</v>
      </c>
      <c r="B705" t="s">
        <v>270</v>
      </c>
      <c r="C705" s="5">
        <v>6530140</v>
      </c>
      <c r="D705" s="2" t="s">
        <v>552</v>
      </c>
      <c r="E705" s="2" t="s">
        <v>15</v>
      </c>
      <c r="F705" s="3">
        <v>88.15</v>
      </c>
      <c r="G705" t="s">
        <v>57</v>
      </c>
      <c r="H705" s="1" t="s">
        <v>60</v>
      </c>
      <c r="I705">
        <f>-72123/4106540/1</f>
        <v>-0.01756296054586099</v>
      </c>
      <c r="J705" t="s">
        <v>271</v>
      </c>
      <c r="K705" t="s">
        <v>272</v>
      </c>
      <c r="L705" t="s">
        <v>273</v>
      </c>
      <c r="N705" t="s">
        <v>58</v>
      </c>
    </row>
    <row r="706" spans="1:13" ht="15">
      <c r="A706" s="4">
        <v>201403</v>
      </c>
      <c r="B706" t="s">
        <v>270</v>
      </c>
      <c r="C706" s="5">
        <v>6530140</v>
      </c>
      <c r="D706" s="2" t="s">
        <v>552</v>
      </c>
      <c r="E706" s="2" t="s">
        <v>15</v>
      </c>
      <c r="F706" s="3">
        <v>96.75</v>
      </c>
      <c r="G706" t="s">
        <v>110</v>
      </c>
      <c r="H706" s="1" t="s">
        <v>60</v>
      </c>
      <c r="I706" t="s">
        <v>559</v>
      </c>
      <c r="J706" t="s">
        <v>271</v>
      </c>
      <c r="K706" t="s">
        <v>272</v>
      </c>
      <c r="L706" t="s">
        <v>273</v>
      </c>
      <c r="M706">
        <v>900902</v>
      </c>
    </row>
    <row r="707" spans="1:13" ht="15">
      <c r="A707" s="4">
        <v>201403</v>
      </c>
      <c r="B707" t="s">
        <v>270</v>
      </c>
      <c r="C707" s="5">
        <v>6530140</v>
      </c>
      <c r="D707" s="2" t="s">
        <v>552</v>
      </c>
      <c r="E707" s="2" t="s">
        <v>15</v>
      </c>
      <c r="F707" s="3">
        <v>140.93</v>
      </c>
      <c r="G707" t="s">
        <v>110</v>
      </c>
      <c r="H707" s="1" t="s">
        <v>60</v>
      </c>
      <c r="I707" t="s">
        <v>560</v>
      </c>
      <c r="J707" t="s">
        <v>271</v>
      </c>
      <c r="K707" t="s">
        <v>272</v>
      </c>
      <c r="L707" t="s">
        <v>273</v>
      </c>
      <c r="M707">
        <v>900902</v>
      </c>
    </row>
    <row r="708" spans="1:14" ht="15">
      <c r="A708" s="4">
        <v>201403</v>
      </c>
      <c r="B708" t="s">
        <v>270</v>
      </c>
      <c r="C708" s="5">
        <v>6530140</v>
      </c>
      <c r="D708" s="2" t="s">
        <v>552</v>
      </c>
      <c r="E708" s="2" t="s">
        <v>15</v>
      </c>
      <c r="F708" s="3">
        <v>170</v>
      </c>
      <c r="G708" t="s">
        <v>57</v>
      </c>
      <c r="H708" s="1" t="s">
        <v>60</v>
      </c>
      <c r="I708">
        <f>-72123/4102770/1</f>
        <v>-0.01757909899896899</v>
      </c>
      <c r="J708" t="s">
        <v>271</v>
      </c>
      <c r="K708" t="s">
        <v>272</v>
      </c>
      <c r="L708" t="s">
        <v>273</v>
      </c>
      <c r="N708" t="s">
        <v>58</v>
      </c>
    </row>
    <row r="709" spans="1:13" ht="15">
      <c r="A709" s="4">
        <v>201403</v>
      </c>
      <c r="B709" t="s">
        <v>270</v>
      </c>
      <c r="C709" s="5">
        <v>6530140</v>
      </c>
      <c r="D709" s="2" t="s">
        <v>552</v>
      </c>
      <c r="E709" s="2" t="s">
        <v>15</v>
      </c>
      <c r="F709" s="3">
        <v>333</v>
      </c>
      <c r="G709" t="s">
        <v>110</v>
      </c>
      <c r="H709" s="1" t="s">
        <v>60</v>
      </c>
      <c r="I709" t="s">
        <v>561</v>
      </c>
      <c r="J709" t="s">
        <v>271</v>
      </c>
      <c r="K709" t="s">
        <v>272</v>
      </c>
      <c r="L709" t="s">
        <v>273</v>
      </c>
      <c r="M709">
        <v>900902</v>
      </c>
    </row>
    <row r="710" spans="1:13" ht="15">
      <c r="A710" s="4">
        <v>201403</v>
      </c>
      <c r="B710" t="s">
        <v>270</v>
      </c>
      <c r="C710" s="5">
        <v>6530140</v>
      </c>
      <c r="D710" s="2" t="s">
        <v>552</v>
      </c>
      <c r="E710" s="2" t="s">
        <v>15</v>
      </c>
      <c r="F710" s="3">
        <v>488.89</v>
      </c>
      <c r="G710" t="s">
        <v>110</v>
      </c>
      <c r="H710" s="1" t="s">
        <v>60</v>
      </c>
      <c r="I710" t="s">
        <v>562</v>
      </c>
      <c r="J710" t="s">
        <v>271</v>
      </c>
      <c r="K710" t="s">
        <v>272</v>
      </c>
      <c r="L710" t="s">
        <v>273</v>
      </c>
      <c r="M710">
        <v>900902</v>
      </c>
    </row>
    <row r="711" spans="1:13" ht="15">
      <c r="A711" s="4">
        <v>201403</v>
      </c>
      <c r="B711" t="s">
        <v>270</v>
      </c>
      <c r="C711" s="5">
        <v>6530140</v>
      </c>
      <c r="D711" s="2" t="s">
        <v>552</v>
      </c>
      <c r="E711" s="2" t="s">
        <v>15</v>
      </c>
      <c r="F711" s="3">
        <v>519.03</v>
      </c>
      <c r="G711" t="s">
        <v>110</v>
      </c>
      <c r="H711" s="1" t="s">
        <v>60</v>
      </c>
      <c r="I711" t="s">
        <v>563</v>
      </c>
      <c r="J711" t="s">
        <v>271</v>
      </c>
      <c r="K711" t="s">
        <v>272</v>
      </c>
      <c r="L711" t="s">
        <v>273</v>
      </c>
      <c r="M711">
        <v>900902</v>
      </c>
    </row>
    <row r="712" spans="1:13" ht="15">
      <c r="A712" s="4">
        <v>201403</v>
      </c>
      <c r="B712" t="s">
        <v>270</v>
      </c>
      <c r="C712" s="5">
        <v>6530140</v>
      </c>
      <c r="D712" s="2" t="s">
        <v>552</v>
      </c>
      <c r="E712" s="2" t="s">
        <v>15</v>
      </c>
      <c r="F712" s="3">
        <v>621.12</v>
      </c>
      <c r="G712" t="s">
        <v>564</v>
      </c>
      <c r="H712" s="1" t="s">
        <v>60</v>
      </c>
      <c r="I712" t="s">
        <v>565</v>
      </c>
      <c r="J712" t="s">
        <v>271</v>
      </c>
      <c r="K712" t="s">
        <v>272</v>
      </c>
      <c r="L712" t="s">
        <v>273</v>
      </c>
      <c r="M712">
        <v>901418</v>
      </c>
    </row>
    <row r="713" spans="1:13" ht="15">
      <c r="A713" s="4">
        <v>201403</v>
      </c>
      <c r="B713" t="s">
        <v>270</v>
      </c>
      <c r="C713" s="5">
        <v>6530140</v>
      </c>
      <c r="D713" s="2" t="s">
        <v>552</v>
      </c>
      <c r="E713" s="2" t="s">
        <v>15</v>
      </c>
      <c r="F713" s="3">
        <v>900.52</v>
      </c>
      <c r="G713" t="s">
        <v>110</v>
      </c>
      <c r="H713" s="1" t="s">
        <v>60</v>
      </c>
      <c r="I713" t="s">
        <v>566</v>
      </c>
      <c r="J713" t="s">
        <v>271</v>
      </c>
      <c r="K713" t="s">
        <v>272</v>
      </c>
      <c r="L713" t="s">
        <v>273</v>
      </c>
      <c r="M713">
        <v>900902</v>
      </c>
    </row>
    <row r="714" spans="1:13" ht="15">
      <c r="A714" s="4">
        <v>201403</v>
      </c>
      <c r="B714" t="s">
        <v>270</v>
      </c>
      <c r="C714" s="5">
        <v>6530140</v>
      </c>
      <c r="D714" s="2" t="s">
        <v>552</v>
      </c>
      <c r="E714" s="2" t="s">
        <v>15</v>
      </c>
      <c r="F714" s="3">
        <v>1039.33</v>
      </c>
      <c r="G714" t="s">
        <v>110</v>
      </c>
      <c r="H714" s="1" t="s">
        <v>60</v>
      </c>
      <c r="I714" t="s">
        <v>567</v>
      </c>
      <c r="J714" t="s">
        <v>271</v>
      </c>
      <c r="K714" t="s">
        <v>272</v>
      </c>
      <c r="L714" t="s">
        <v>273</v>
      </c>
      <c r="M714">
        <v>900902</v>
      </c>
    </row>
    <row r="715" spans="1:13" ht="15">
      <c r="A715" s="4">
        <v>201403</v>
      </c>
      <c r="B715" t="s">
        <v>270</v>
      </c>
      <c r="C715" s="5">
        <v>6530140</v>
      </c>
      <c r="D715" s="2" t="s">
        <v>552</v>
      </c>
      <c r="E715" s="2" t="s">
        <v>15</v>
      </c>
      <c r="F715" s="3">
        <v>1189.73</v>
      </c>
      <c r="G715" t="s">
        <v>110</v>
      </c>
      <c r="H715" s="1" t="s">
        <v>60</v>
      </c>
      <c r="I715" t="s">
        <v>568</v>
      </c>
      <c r="J715" t="s">
        <v>271</v>
      </c>
      <c r="K715" t="s">
        <v>272</v>
      </c>
      <c r="L715" t="s">
        <v>273</v>
      </c>
      <c r="M715">
        <v>900902</v>
      </c>
    </row>
    <row r="716" spans="1:12" ht="15">
      <c r="A716" s="4">
        <v>201403</v>
      </c>
      <c r="B716" t="s">
        <v>270</v>
      </c>
      <c r="C716" s="5">
        <v>6530140</v>
      </c>
      <c r="D716" s="2" t="s">
        <v>552</v>
      </c>
      <c r="E716" s="2" t="s">
        <v>15</v>
      </c>
      <c r="F716" s="3">
        <v>12793.55</v>
      </c>
      <c r="H716" s="1" t="s">
        <v>60</v>
      </c>
      <c r="I716" t="s">
        <v>569</v>
      </c>
      <c r="J716" t="s">
        <v>271</v>
      </c>
      <c r="K716" t="s">
        <v>272</v>
      </c>
      <c r="L716" t="s">
        <v>273</v>
      </c>
    </row>
    <row r="717" spans="1:12" ht="15">
      <c r="A717" s="4">
        <v>201403</v>
      </c>
      <c r="B717" t="s">
        <v>270</v>
      </c>
      <c r="C717" s="5">
        <v>6530140</v>
      </c>
      <c r="D717" s="2" t="s">
        <v>552</v>
      </c>
      <c r="E717" s="2" t="s">
        <v>15</v>
      </c>
      <c r="F717" s="3">
        <v>23402.13</v>
      </c>
      <c r="H717" s="1" t="s">
        <v>60</v>
      </c>
      <c r="I717" t="s">
        <v>570</v>
      </c>
      <c r="J717" t="s">
        <v>271</v>
      </c>
      <c r="K717" t="s">
        <v>272</v>
      </c>
      <c r="L717" t="s">
        <v>273</v>
      </c>
    </row>
    <row r="718" spans="1:12" ht="15">
      <c r="A718" s="4">
        <v>201404</v>
      </c>
      <c r="B718" t="s">
        <v>270</v>
      </c>
      <c r="C718" s="5">
        <v>6530140</v>
      </c>
      <c r="D718" s="2" t="s">
        <v>552</v>
      </c>
      <c r="E718" s="2" t="s">
        <v>15</v>
      </c>
      <c r="F718" s="3">
        <v>-21155.79</v>
      </c>
      <c r="H718" s="1" t="s">
        <v>60</v>
      </c>
      <c r="I718" t="s">
        <v>570</v>
      </c>
      <c r="J718" t="s">
        <v>271</v>
      </c>
      <c r="K718" t="s">
        <v>272</v>
      </c>
      <c r="L718" t="s">
        <v>273</v>
      </c>
    </row>
    <row r="719" spans="1:12" ht="15">
      <c r="A719" s="4">
        <v>201404</v>
      </c>
      <c r="B719" t="s">
        <v>270</v>
      </c>
      <c r="C719" s="5">
        <v>6530140</v>
      </c>
      <c r="D719" s="2" t="s">
        <v>552</v>
      </c>
      <c r="E719" s="2" t="s">
        <v>15</v>
      </c>
      <c r="F719" s="3">
        <v>-12793.55</v>
      </c>
      <c r="H719" s="1" t="s">
        <v>60</v>
      </c>
      <c r="I719" t="s">
        <v>569</v>
      </c>
      <c r="J719" t="s">
        <v>271</v>
      </c>
      <c r="K719" t="s">
        <v>272</v>
      </c>
      <c r="L719" t="s">
        <v>273</v>
      </c>
    </row>
    <row r="720" spans="1:13" ht="15">
      <c r="A720" s="4">
        <v>201404</v>
      </c>
      <c r="B720" t="s">
        <v>270</v>
      </c>
      <c r="C720" s="5">
        <v>6530140</v>
      </c>
      <c r="D720" s="2" t="s">
        <v>552</v>
      </c>
      <c r="E720" s="2" t="s">
        <v>15</v>
      </c>
      <c r="F720" s="3">
        <v>-20.79</v>
      </c>
      <c r="G720" t="s">
        <v>110</v>
      </c>
      <c r="H720" s="1" t="s">
        <v>60</v>
      </c>
      <c r="I720" t="s">
        <v>567</v>
      </c>
      <c r="J720" t="s">
        <v>271</v>
      </c>
      <c r="K720" t="s">
        <v>272</v>
      </c>
      <c r="L720" t="s">
        <v>273</v>
      </c>
      <c r="M720">
        <v>900902</v>
      </c>
    </row>
    <row r="721" spans="1:14" ht="15">
      <c r="A721" s="4">
        <v>201404</v>
      </c>
      <c r="B721" t="s">
        <v>270</v>
      </c>
      <c r="C721" s="5">
        <v>6530140</v>
      </c>
      <c r="D721" s="2" t="s">
        <v>552</v>
      </c>
      <c r="E721" s="2" t="s">
        <v>15</v>
      </c>
      <c r="F721" s="3">
        <v>-10.13</v>
      </c>
      <c r="G721" t="s">
        <v>57</v>
      </c>
      <c r="H721" s="1" t="s">
        <v>60</v>
      </c>
      <c r="I721">
        <f>-72123/4102769/2</f>
        <v>-0.008789551641830188</v>
      </c>
      <c r="J721" t="s">
        <v>271</v>
      </c>
      <c r="K721" t="s">
        <v>272</v>
      </c>
      <c r="L721" t="s">
        <v>273</v>
      </c>
      <c r="N721" t="s">
        <v>58</v>
      </c>
    </row>
    <row r="722" spans="1:13" ht="15">
      <c r="A722" s="4">
        <v>201404</v>
      </c>
      <c r="B722" t="s">
        <v>270</v>
      </c>
      <c r="C722" s="5">
        <v>6530140</v>
      </c>
      <c r="D722" s="2" t="s">
        <v>552</v>
      </c>
      <c r="E722" s="2" t="s">
        <v>15</v>
      </c>
      <c r="F722" s="3">
        <v>-9.78</v>
      </c>
      <c r="G722" t="s">
        <v>110</v>
      </c>
      <c r="H722" s="1" t="s">
        <v>60</v>
      </c>
      <c r="I722" t="s">
        <v>562</v>
      </c>
      <c r="J722" t="s">
        <v>271</v>
      </c>
      <c r="K722" t="s">
        <v>272</v>
      </c>
      <c r="L722" t="s">
        <v>273</v>
      </c>
      <c r="M722">
        <v>900902</v>
      </c>
    </row>
    <row r="723" spans="1:13" ht="15">
      <c r="A723" s="4">
        <v>201404</v>
      </c>
      <c r="B723" t="s">
        <v>270</v>
      </c>
      <c r="C723" s="5">
        <v>6530140</v>
      </c>
      <c r="D723" s="2" t="s">
        <v>552</v>
      </c>
      <c r="E723" s="2" t="s">
        <v>15</v>
      </c>
      <c r="F723" s="3">
        <v>-6.66</v>
      </c>
      <c r="G723" t="s">
        <v>110</v>
      </c>
      <c r="H723" s="1" t="s">
        <v>60</v>
      </c>
      <c r="I723" t="s">
        <v>561</v>
      </c>
      <c r="J723" t="s">
        <v>271</v>
      </c>
      <c r="K723" t="s">
        <v>272</v>
      </c>
      <c r="L723" t="s">
        <v>273</v>
      </c>
      <c r="M723">
        <v>900902</v>
      </c>
    </row>
    <row r="724" spans="1:13" ht="15">
      <c r="A724" s="4">
        <v>201404</v>
      </c>
      <c r="B724" t="s">
        <v>270</v>
      </c>
      <c r="C724" s="5">
        <v>6530140</v>
      </c>
      <c r="D724" s="2" t="s">
        <v>552</v>
      </c>
      <c r="E724" s="2" t="s">
        <v>15</v>
      </c>
      <c r="F724" s="3">
        <v>-1.93</v>
      </c>
      <c r="G724" t="s">
        <v>110</v>
      </c>
      <c r="H724" s="1" t="s">
        <v>60</v>
      </c>
      <c r="I724" t="s">
        <v>559</v>
      </c>
      <c r="J724" t="s">
        <v>271</v>
      </c>
      <c r="K724" t="s">
        <v>272</v>
      </c>
      <c r="L724" t="s">
        <v>273</v>
      </c>
      <c r="M724">
        <v>900902</v>
      </c>
    </row>
    <row r="725" spans="1:14" ht="15">
      <c r="A725" s="4">
        <v>201404</v>
      </c>
      <c r="B725" t="s">
        <v>270</v>
      </c>
      <c r="C725" s="5">
        <v>6530140</v>
      </c>
      <c r="D725" s="2" t="s">
        <v>552</v>
      </c>
      <c r="E725" s="2" t="s">
        <v>15</v>
      </c>
      <c r="F725" s="3">
        <v>0.54</v>
      </c>
      <c r="G725" t="s">
        <v>57</v>
      </c>
      <c r="H725" s="1" t="s">
        <v>60</v>
      </c>
      <c r="I725">
        <f>-72123/4102779/2</f>
        <v>-0.008789530218420246</v>
      </c>
      <c r="J725" t="s">
        <v>271</v>
      </c>
      <c r="K725" t="s">
        <v>272</v>
      </c>
      <c r="L725" t="s">
        <v>273</v>
      </c>
      <c r="N725" t="s">
        <v>58</v>
      </c>
    </row>
    <row r="726" spans="1:13" ht="15">
      <c r="A726" s="4">
        <v>201404</v>
      </c>
      <c r="B726" t="s">
        <v>270</v>
      </c>
      <c r="C726" s="5">
        <v>6530140</v>
      </c>
      <c r="D726" s="2" t="s">
        <v>552</v>
      </c>
      <c r="E726" s="2" t="s">
        <v>15</v>
      </c>
      <c r="F726" s="3">
        <v>20</v>
      </c>
      <c r="G726" t="s">
        <v>110</v>
      </c>
      <c r="H726" s="1" t="s">
        <v>60</v>
      </c>
      <c r="I726" t="s">
        <v>571</v>
      </c>
      <c r="J726" t="s">
        <v>271</v>
      </c>
      <c r="K726" t="s">
        <v>272</v>
      </c>
      <c r="L726" t="s">
        <v>273</v>
      </c>
      <c r="M726">
        <v>900902</v>
      </c>
    </row>
    <row r="727" spans="1:13" ht="15">
      <c r="A727" s="4">
        <v>201404</v>
      </c>
      <c r="B727" t="s">
        <v>270</v>
      </c>
      <c r="C727" s="5">
        <v>6530140</v>
      </c>
      <c r="D727" s="2" t="s">
        <v>552</v>
      </c>
      <c r="E727" s="2" t="s">
        <v>15</v>
      </c>
      <c r="F727" s="3">
        <v>27.64</v>
      </c>
      <c r="G727" t="s">
        <v>110</v>
      </c>
      <c r="H727" s="1" t="s">
        <v>60</v>
      </c>
      <c r="I727" t="s">
        <v>572</v>
      </c>
      <c r="J727" t="s">
        <v>271</v>
      </c>
      <c r="K727" t="s">
        <v>272</v>
      </c>
      <c r="L727" t="s">
        <v>273</v>
      </c>
      <c r="M727">
        <v>900902</v>
      </c>
    </row>
    <row r="728" spans="1:13" ht="15">
      <c r="A728" s="4">
        <v>201404</v>
      </c>
      <c r="B728" t="s">
        <v>270</v>
      </c>
      <c r="C728" s="5">
        <v>6530140</v>
      </c>
      <c r="D728" s="2" t="s">
        <v>552</v>
      </c>
      <c r="E728" s="2" t="s">
        <v>15</v>
      </c>
      <c r="F728" s="3">
        <v>28.76</v>
      </c>
      <c r="G728" t="s">
        <v>110</v>
      </c>
      <c r="H728" s="1" t="s">
        <v>60</v>
      </c>
      <c r="I728" t="s">
        <v>560</v>
      </c>
      <c r="J728" t="s">
        <v>271</v>
      </c>
      <c r="K728" t="s">
        <v>272</v>
      </c>
      <c r="L728" t="s">
        <v>273</v>
      </c>
      <c r="M728">
        <v>900902</v>
      </c>
    </row>
    <row r="729" spans="1:13" ht="15">
      <c r="A729" s="4">
        <v>201404</v>
      </c>
      <c r="B729" t="s">
        <v>270</v>
      </c>
      <c r="C729" s="5">
        <v>6530140</v>
      </c>
      <c r="D729" s="2" t="s">
        <v>552</v>
      </c>
      <c r="E729" s="2" t="s">
        <v>15</v>
      </c>
      <c r="F729" s="3">
        <v>31</v>
      </c>
      <c r="G729" t="s">
        <v>110</v>
      </c>
      <c r="H729" s="1" t="s">
        <v>60</v>
      </c>
      <c r="I729" t="s">
        <v>573</v>
      </c>
      <c r="J729" t="s">
        <v>271</v>
      </c>
      <c r="K729" t="s">
        <v>272</v>
      </c>
      <c r="L729" t="s">
        <v>273</v>
      </c>
      <c r="M729">
        <v>900902</v>
      </c>
    </row>
    <row r="730" spans="1:14" ht="15">
      <c r="A730" s="4">
        <v>201404</v>
      </c>
      <c r="B730" t="s">
        <v>270</v>
      </c>
      <c r="C730" s="5">
        <v>6530140</v>
      </c>
      <c r="D730" s="2" t="s">
        <v>552</v>
      </c>
      <c r="E730" s="2" t="s">
        <v>15</v>
      </c>
      <c r="F730" s="3">
        <v>31.58</v>
      </c>
      <c r="G730" t="s">
        <v>57</v>
      </c>
      <c r="H730" s="1" t="s">
        <v>60</v>
      </c>
      <c r="I730">
        <f>-72123/4113881/1</f>
        <v>-0.01753162038474132</v>
      </c>
      <c r="J730" t="s">
        <v>271</v>
      </c>
      <c r="K730" t="s">
        <v>272</v>
      </c>
      <c r="L730" t="s">
        <v>273</v>
      </c>
      <c r="N730" t="s">
        <v>58</v>
      </c>
    </row>
    <row r="731" spans="1:13" ht="15">
      <c r="A731" s="4">
        <v>201404</v>
      </c>
      <c r="B731" t="s">
        <v>270</v>
      </c>
      <c r="C731" s="5">
        <v>6530140</v>
      </c>
      <c r="D731" s="2" t="s">
        <v>552</v>
      </c>
      <c r="E731" s="2" t="s">
        <v>15</v>
      </c>
      <c r="F731" s="3">
        <v>38.82</v>
      </c>
      <c r="G731" t="s">
        <v>110</v>
      </c>
      <c r="H731" s="1" t="s">
        <v>60</v>
      </c>
      <c r="I731" t="s">
        <v>557</v>
      </c>
      <c r="J731" t="s">
        <v>271</v>
      </c>
      <c r="K731" t="s">
        <v>272</v>
      </c>
      <c r="L731" t="s">
        <v>273</v>
      </c>
      <c r="M731">
        <v>900902</v>
      </c>
    </row>
    <row r="732" spans="1:13" ht="15">
      <c r="A732" s="4">
        <v>201404</v>
      </c>
      <c r="B732" t="s">
        <v>270</v>
      </c>
      <c r="C732" s="5">
        <v>6530140</v>
      </c>
      <c r="D732" s="2" t="s">
        <v>552</v>
      </c>
      <c r="E732" s="2" t="s">
        <v>15</v>
      </c>
      <c r="F732" s="3">
        <v>39</v>
      </c>
      <c r="G732" t="s">
        <v>110</v>
      </c>
      <c r="H732" s="1" t="s">
        <v>60</v>
      </c>
      <c r="I732" t="s">
        <v>574</v>
      </c>
      <c r="J732" t="s">
        <v>271</v>
      </c>
      <c r="K732" t="s">
        <v>272</v>
      </c>
      <c r="L732" t="s">
        <v>273</v>
      </c>
      <c r="M732">
        <v>900902</v>
      </c>
    </row>
    <row r="733" spans="1:14" ht="15">
      <c r="A733" s="4">
        <v>201404</v>
      </c>
      <c r="B733" t="s">
        <v>270</v>
      </c>
      <c r="C733" s="5">
        <v>6530140</v>
      </c>
      <c r="D733" s="2" t="s">
        <v>552</v>
      </c>
      <c r="E733" s="2" t="s">
        <v>15</v>
      </c>
      <c r="F733" s="3">
        <v>72.56</v>
      </c>
      <c r="G733" t="s">
        <v>57</v>
      </c>
      <c r="H733" s="1" t="s">
        <v>60</v>
      </c>
      <c r="I733">
        <f>-72123/4102769/1</f>
        <v>-0.017579103283660375</v>
      </c>
      <c r="J733" t="s">
        <v>271</v>
      </c>
      <c r="K733" t="s">
        <v>272</v>
      </c>
      <c r="L733" t="s">
        <v>273</v>
      </c>
      <c r="N733" t="s">
        <v>58</v>
      </c>
    </row>
    <row r="734" spans="1:13" ht="15">
      <c r="A734" s="4">
        <v>201404</v>
      </c>
      <c r="B734" t="s">
        <v>270</v>
      </c>
      <c r="C734" s="5">
        <v>6530140</v>
      </c>
      <c r="D734" s="2" t="s">
        <v>552</v>
      </c>
      <c r="E734" s="2" t="s">
        <v>15</v>
      </c>
      <c r="F734" s="3">
        <v>80.53</v>
      </c>
      <c r="G734" t="s">
        <v>110</v>
      </c>
      <c r="H734" s="1" t="s">
        <v>60</v>
      </c>
      <c r="I734" t="s">
        <v>575</v>
      </c>
      <c r="J734" t="s">
        <v>271</v>
      </c>
      <c r="K734" t="s">
        <v>272</v>
      </c>
      <c r="L734" t="s">
        <v>273</v>
      </c>
      <c r="M734">
        <v>900902</v>
      </c>
    </row>
    <row r="735" spans="1:13" ht="15">
      <c r="A735" s="4">
        <v>201404</v>
      </c>
      <c r="B735" t="s">
        <v>270</v>
      </c>
      <c r="C735" s="5">
        <v>6530140</v>
      </c>
      <c r="D735" s="2" t="s">
        <v>552</v>
      </c>
      <c r="E735" s="2" t="s">
        <v>15</v>
      </c>
      <c r="F735" s="3">
        <v>104.4</v>
      </c>
      <c r="G735" t="s">
        <v>110</v>
      </c>
      <c r="H735" s="1" t="s">
        <v>60</v>
      </c>
      <c r="I735" t="s">
        <v>576</v>
      </c>
      <c r="J735" t="s">
        <v>271</v>
      </c>
      <c r="K735" t="s">
        <v>272</v>
      </c>
      <c r="L735" t="s">
        <v>273</v>
      </c>
      <c r="M735">
        <v>900902</v>
      </c>
    </row>
    <row r="736" spans="1:14" ht="15">
      <c r="A736" s="4">
        <v>201404</v>
      </c>
      <c r="B736" t="s">
        <v>270</v>
      </c>
      <c r="C736" s="5">
        <v>6530140</v>
      </c>
      <c r="D736" s="2" t="s">
        <v>552</v>
      </c>
      <c r="E736" s="2" t="s">
        <v>15</v>
      </c>
      <c r="F736" s="3">
        <v>109.32</v>
      </c>
      <c r="G736" t="s">
        <v>57</v>
      </c>
      <c r="H736" s="1" t="s">
        <v>60</v>
      </c>
      <c r="I736">
        <f>-11039/451819/1</f>
        <v>-0.024432350122504807</v>
      </c>
      <c r="J736" t="s">
        <v>271</v>
      </c>
      <c r="K736" t="s">
        <v>272</v>
      </c>
      <c r="L736" t="s">
        <v>273</v>
      </c>
      <c r="N736" t="s">
        <v>58</v>
      </c>
    </row>
    <row r="737" spans="1:13" ht="15">
      <c r="A737" s="4">
        <v>201404</v>
      </c>
      <c r="B737" t="s">
        <v>270</v>
      </c>
      <c r="C737" s="5">
        <v>6530140</v>
      </c>
      <c r="D737" s="2" t="s">
        <v>552</v>
      </c>
      <c r="E737" s="2" t="s">
        <v>15</v>
      </c>
      <c r="F737" s="3">
        <v>123.48</v>
      </c>
      <c r="G737" t="s">
        <v>110</v>
      </c>
      <c r="H737" s="1" t="s">
        <v>60</v>
      </c>
      <c r="I737" t="s">
        <v>577</v>
      </c>
      <c r="J737" t="s">
        <v>271</v>
      </c>
      <c r="K737" t="s">
        <v>272</v>
      </c>
      <c r="L737" t="s">
        <v>273</v>
      </c>
      <c r="M737">
        <v>900902</v>
      </c>
    </row>
    <row r="738" spans="1:13" ht="15">
      <c r="A738" s="4">
        <v>201404</v>
      </c>
      <c r="B738" t="s">
        <v>270</v>
      </c>
      <c r="C738" s="5">
        <v>6530140</v>
      </c>
      <c r="D738" s="2" t="s">
        <v>552</v>
      </c>
      <c r="E738" s="2" t="s">
        <v>15</v>
      </c>
      <c r="F738" s="3">
        <v>130.34</v>
      </c>
      <c r="G738" t="s">
        <v>110</v>
      </c>
      <c r="H738" s="1" t="s">
        <v>60</v>
      </c>
      <c r="I738" t="s">
        <v>578</v>
      </c>
      <c r="J738" t="s">
        <v>271</v>
      </c>
      <c r="K738" t="s">
        <v>272</v>
      </c>
      <c r="L738" t="s">
        <v>273</v>
      </c>
      <c r="M738">
        <v>900902</v>
      </c>
    </row>
    <row r="739" spans="1:13" ht="15">
      <c r="A739" s="4">
        <v>201404</v>
      </c>
      <c r="B739" t="s">
        <v>270</v>
      </c>
      <c r="C739" s="5">
        <v>6530140</v>
      </c>
      <c r="D739" s="2" t="s">
        <v>552</v>
      </c>
      <c r="E739" s="2" t="s">
        <v>15</v>
      </c>
      <c r="F739" s="3">
        <v>137.6</v>
      </c>
      <c r="G739" t="s">
        <v>579</v>
      </c>
      <c r="H739" s="1" t="s">
        <v>60</v>
      </c>
      <c r="I739" t="s">
        <v>580</v>
      </c>
      <c r="J739" t="s">
        <v>271</v>
      </c>
      <c r="K739" t="s">
        <v>272</v>
      </c>
      <c r="L739" t="s">
        <v>273</v>
      </c>
      <c r="M739">
        <v>901577</v>
      </c>
    </row>
    <row r="740" spans="1:13" ht="15">
      <c r="A740" s="4">
        <v>201404</v>
      </c>
      <c r="B740" t="s">
        <v>270</v>
      </c>
      <c r="C740" s="5">
        <v>6530140</v>
      </c>
      <c r="D740" s="2" t="s">
        <v>552</v>
      </c>
      <c r="E740" s="2" t="s">
        <v>15</v>
      </c>
      <c r="F740" s="3">
        <v>141.18</v>
      </c>
      <c r="G740" t="s">
        <v>110</v>
      </c>
      <c r="H740" s="1" t="s">
        <v>60</v>
      </c>
      <c r="I740" t="s">
        <v>581</v>
      </c>
      <c r="J740" t="s">
        <v>271</v>
      </c>
      <c r="K740" t="s">
        <v>272</v>
      </c>
      <c r="L740" t="s">
        <v>273</v>
      </c>
      <c r="M740">
        <v>900902</v>
      </c>
    </row>
    <row r="741" spans="1:13" ht="15">
      <c r="A741" s="4">
        <v>201404</v>
      </c>
      <c r="B741" t="s">
        <v>270</v>
      </c>
      <c r="C741" s="5">
        <v>6530140</v>
      </c>
      <c r="D741" s="2" t="s">
        <v>552</v>
      </c>
      <c r="E741" s="2" t="s">
        <v>15</v>
      </c>
      <c r="F741" s="3">
        <v>144.1</v>
      </c>
      <c r="G741" t="s">
        <v>110</v>
      </c>
      <c r="H741" s="1" t="s">
        <v>60</v>
      </c>
      <c r="I741" t="s">
        <v>582</v>
      </c>
      <c r="J741" t="s">
        <v>271</v>
      </c>
      <c r="K741" t="s">
        <v>272</v>
      </c>
      <c r="L741" t="s">
        <v>273</v>
      </c>
      <c r="M741">
        <v>900902</v>
      </c>
    </row>
    <row r="742" spans="1:13" ht="15">
      <c r="A742" s="4">
        <v>201404</v>
      </c>
      <c r="B742" t="s">
        <v>270</v>
      </c>
      <c r="C742" s="5">
        <v>6530140</v>
      </c>
      <c r="D742" s="2" t="s">
        <v>552</v>
      </c>
      <c r="E742" s="2" t="s">
        <v>15</v>
      </c>
      <c r="F742" s="3">
        <v>167.67</v>
      </c>
      <c r="G742" t="s">
        <v>110</v>
      </c>
      <c r="H742" s="1" t="s">
        <v>60</v>
      </c>
      <c r="I742" t="s">
        <v>583</v>
      </c>
      <c r="J742" t="s">
        <v>271</v>
      </c>
      <c r="K742" t="s">
        <v>272</v>
      </c>
      <c r="L742" t="s">
        <v>273</v>
      </c>
      <c r="M742">
        <v>900902</v>
      </c>
    </row>
    <row r="743" spans="1:13" ht="15">
      <c r="A743" s="4">
        <v>201404</v>
      </c>
      <c r="B743" t="s">
        <v>270</v>
      </c>
      <c r="C743" s="5">
        <v>6530140</v>
      </c>
      <c r="D743" s="2" t="s">
        <v>552</v>
      </c>
      <c r="E743" s="2" t="s">
        <v>15</v>
      </c>
      <c r="F743" s="3">
        <v>171</v>
      </c>
      <c r="G743" t="s">
        <v>110</v>
      </c>
      <c r="H743" s="1" t="s">
        <v>60</v>
      </c>
      <c r="I743" t="s">
        <v>584</v>
      </c>
      <c r="J743" t="s">
        <v>271</v>
      </c>
      <c r="K743" t="s">
        <v>272</v>
      </c>
      <c r="L743" t="s">
        <v>273</v>
      </c>
      <c r="M743">
        <v>900902</v>
      </c>
    </row>
    <row r="744" spans="1:13" ht="15">
      <c r="A744" s="4">
        <v>201404</v>
      </c>
      <c r="B744" t="s">
        <v>270</v>
      </c>
      <c r="C744" s="5">
        <v>6530140</v>
      </c>
      <c r="D744" s="2" t="s">
        <v>552</v>
      </c>
      <c r="E744" s="2" t="s">
        <v>15</v>
      </c>
      <c r="F744" s="3">
        <v>198.3</v>
      </c>
      <c r="G744" t="s">
        <v>110</v>
      </c>
      <c r="H744" s="1" t="s">
        <v>60</v>
      </c>
      <c r="I744" t="s">
        <v>585</v>
      </c>
      <c r="J744" t="s">
        <v>271</v>
      </c>
      <c r="K744" t="s">
        <v>272</v>
      </c>
      <c r="L744" t="s">
        <v>273</v>
      </c>
      <c r="M744">
        <v>900902</v>
      </c>
    </row>
    <row r="745" spans="1:14" ht="15">
      <c r="A745" s="4">
        <v>201404</v>
      </c>
      <c r="B745" t="s">
        <v>270</v>
      </c>
      <c r="C745" s="5">
        <v>6530140</v>
      </c>
      <c r="D745" s="2" t="s">
        <v>552</v>
      </c>
      <c r="E745" s="2" t="s">
        <v>15</v>
      </c>
      <c r="F745" s="3">
        <v>475.23</v>
      </c>
      <c r="G745" t="s">
        <v>57</v>
      </c>
      <c r="H745" s="1" t="s">
        <v>60</v>
      </c>
      <c r="I745">
        <f>-72123/4113391/1</f>
        <v>-0.017533708806189346</v>
      </c>
      <c r="J745" t="s">
        <v>271</v>
      </c>
      <c r="K745" t="s">
        <v>272</v>
      </c>
      <c r="L745" t="s">
        <v>273</v>
      </c>
      <c r="N745" t="s">
        <v>58</v>
      </c>
    </row>
    <row r="746" spans="1:13" ht="15">
      <c r="A746" s="4">
        <v>201404</v>
      </c>
      <c r="B746" t="s">
        <v>270</v>
      </c>
      <c r="C746" s="5">
        <v>6530140</v>
      </c>
      <c r="D746" s="2" t="s">
        <v>552</v>
      </c>
      <c r="E746" s="2" t="s">
        <v>15</v>
      </c>
      <c r="F746" s="3">
        <v>520.59</v>
      </c>
      <c r="G746" t="s">
        <v>110</v>
      </c>
      <c r="H746" s="1" t="s">
        <v>60</v>
      </c>
      <c r="I746" t="s">
        <v>586</v>
      </c>
      <c r="J746" t="s">
        <v>271</v>
      </c>
      <c r="K746" t="s">
        <v>272</v>
      </c>
      <c r="L746" t="s">
        <v>273</v>
      </c>
      <c r="M746">
        <v>900902</v>
      </c>
    </row>
    <row r="747" spans="1:13" ht="15">
      <c r="A747" s="4">
        <v>201404</v>
      </c>
      <c r="B747" t="s">
        <v>270</v>
      </c>
      <c r="C747" s="5">
        <v>6530140</v>
      </c>
      <c r="D747" s="2" t="s">
        <v>552</v>
      </c>
      <c r="E747" s="2" t="s">
        <v>15</v>
      </c>
      <c r="F747" s="3">
        <v>728.4</v>
      </c>
      <c r="G747" t="s">
        <v>110</v>
      </c>
      <c r="H747" s="1" t="s">
        <v>60</v>
      </c>
      <c r="I747" t="s">
        <v>568</v>
      </c>
      <c r="J747" t="s">
        <v>271</v>
      </c>
      <c r="K747" t="s">
        <v>272</v>
      </c>
      <c r="L747" t="s">
        <v>273</v>
      </c>
      <c r="M747">
        <v>900902</v>
      </c>
    </row>
    <row r="748" spans="1:13" ht="15">
      <c r="A748" s="4">
        <v>201404</v>
      </c>
      <c r="B748" t="s">
        <v>270</v>
      </c>
      <c r="C748" s="5">
        <v>6530140</v>
      </c>
      <c r="D748" s="2" t="s">
        <v>552</v>
      </c>
      <c r="E748" s="2" t="s">
        <v>15</v>
      </c>
      <c r="F748" s="3">
        <v>753.97</v>
      </c>
      <c r="G748" t="s">
        <v>110</v>
      </c>
      <c r="H748" s="1" t="s">
        <v>60</v>
      </c>
      <c r="I748" t="s">
        <v>587</v>
      </c>
      <c r="J748" t="s">
        <v>271</v>
      </c>
      <c r="K748" t="s">
        <v>272</v>
      </c>
      <c r="L748" t="s">
        <v>273</v>
      </c>
      <c r="M748">
        <v>900902</v>
      </c>
    </row>
    <row r="749" spans="1:14" ht="15">
      <c r="A749" s="4">
        <v>201404</v>
      </c>
      <c r="B749" t="s">
        <v>270</v>
      </c>
      <c r="C749" s="5">
        <v>6530140</v>
      </c>
      <c r="D749" s="2" t="s">
        <v>552</v>
      </c>
      <c r="E749" s="2" t="s">
        <v>15</v>
      </c>
      <c r="F749" s="3">
        <v>775.87</v>
      </c>
      <c r="G749" t="s">
        <v>57</v>
      </c>
      <c r="H749" s="1" t="s">
        <v>60</v>
      </c>
      <c r="I749" t="e">
        <f>-71949/Q624/1</f>
        <v>#DIV/0!</v>
      </c>
      <c r="J749" t="s">
        <v>271</v>
      </c>
      <c r="K749" t="s">
        <v>272</v>
      </c>
      <c r="L749" t="s">
        <v>273</v>
      </c>
      <c r="N749" t="s">
        <v>58</v>
      </c>
    </row>
    <row r="750" spans="1:13" ht="15">
      <c r="A750" s="4">
        <v>201404</v>
      </c>
      <c r="B750" t="s">
        <v>270</v>
      </c>
      <c r="C750" s="5">
        <v>6530140</v>
      </c>
      <c r="D750" s="2" t="s">
        <v>552</v>
      </c>
      <c r="E750" s="2" t="s">
        <v>15</v>
      </c>
      <c r="F750" s="3">
        <v>917.65</v>
      </c>
      <c r="G750" t="s">
        <v>110</v>
      </c>
      <c r="H750" s="1" t="s">
        <v>60</v>
      </c>
      <c r="I750" t="s">
        <v>588</v>
      </c>
      <c r="J750" t="s">
        <v>271</v>
      </c>
      <c r="K750" t="s">
        <v>272</v>
      </c>
      <c r="L750" t="s">
        <v>273</v>
      </c>
      <c r="M750">
        <v>900902</v>
      </c>
    </row>
    <row r="751" spans="1:14" ht="15">
      <c r="A751" s="4">
        <v>201404</v>
      </c>
      <c r="B751" t="s">
        <v>270</v>
      </c>
      <c r="C751" s="5">
        <v>6530140</v>
      </c>
      <c r="D751" s="2" t="s">
        <v>552</v>
      </c>
      <c r="E751" s="2" t="s">
        <v>15</v>
      </c>
      <c r="F751" s="3">
        <v>921.38</v>
      </c>
      <c r="G751" t="s">
        <v>57</v>
      </c>
      <c r="H751" s="1" t="s">
        <v>60</v>
      </c>
      <c r="I751">
        <f>-72123/4102779/1</f>
        <v>-0.01757906043684049</v>
      </c>
      <c r="J751" t="s">
        <v>271</v>
      </c>
      <c r="K751" t="s">
        <v>272</v>
      </c>
      <c r="L751" t="s">
        <v>273</v>
      </c>
      <c r="N751" t="s">
        <v>58</v>
      </c>
    </row>
    <row r="752" spans="1:13" ht="15">
      <c r="A752" s="4">
        <v>201404</v>
      </c>
      <c r="B752" t="s">
        <v>270</v>
      </c>
      <c r="C752" s="5">
        <v>6530140</v>
      </c>
      <c r="D752" s="2" t="s">
        <v>552</v>
      </c>
      <c r="E752" s="2" t="s">
        <v>15</v>
      </c>
      <c r="F752" s="3">
        <v>1118.46</v>
      </c>
      <c r="G752" t="s">
        <v>110</v>
      </c>
      <c r="H752" s="1" t="s">
        <v>60</v>
      </c>
      <c r="I752" t="s">
        <v>589</v>
      </c>
      <c r="J752" t="s">
        <v>271</v>
      </c>
      <c r="K752" t="s">
        <v>272</v>
      </c>
      <c r="L752" t="s">
        <v>273</v>
      </c>
      <c r="M752">
        <v>900902</v>
      </c>
    </row>
    <row r="753" spans="1:13" ht="15">
      <c r="A753" s="4">
        <v>201404</v>
      </c>
      <c r="B753" t="s">
        <v>270</v>
      </c>
      <c r="C753" s="5">
        <v>6530140</v>
      </c>
      <c r="D753" s="2" t="s">
        <v>552</v>
      </c>
      <c r="E753" s="2" t="s">
        <v>15</v>
      </c>
      <c r="F753" s="3">
        <v>1280</v>
      </c>
      <c r="G753" t="s">
        <v>579</v>
      </c>
      <c r="H753" s="1" t="s">
        <v>60</v>
      </c>
      <c r="I753" t="s">
        <v>590</v>
      </c>
      <c r="J753" t="s">
        <v>271</v>
      </c>
      <c r="K753" t="s">
        <v>272</v>
      </c>
      <c r="L753" t="s">
        <v>273</v>
      </c>
      <c r="M753">
        <v>901577</v>
      </c>
    </row>
    <row r="754" spans="1:13" ht="15">
      <c r="A754" s="4">
        <v>201404</v>
      </c>
      <c r="B754" t="s">
        <v>270</v>
      </c>
      <c r="C754" s="5">
        <v>6530140</v>
      </c>
      <c r="D754" s="2" t="s">
        <v>552</v>
      </c>
      <c r="E754" s="2" t="s">
        <v>15</v>
      </c>
      <c r="F754" s="3">
        <v>1606.35</v>
      </c>
      <c r="G754" t="s">
        <v>579</v>
      </c>
      <c r="H754" s="1" t="s">
        <v>60</v>
      </c>
      <c r="I754" t="s">
        <v>591</v>
      </c>
      <c r="J754" t="s">
        <v>271</v>
      </c>
      <c r="K754" t="s">
        <v>272</v>
      </c>
      <c r="L754" t="s">
        <v>273</v>
      </c>
      <c r="M754">
        <v>901577</v>
      </c>
    </row>
    <row r="755" spans="1:13" ht="15">
      <c r="A755" s="4">
        <v>201404</v>
      </c>
      <c r="B755" t="s">
        <v>270</v>
      </c>
      <c r="C755" s="5">
        <v>6530140</v>
      </c>
      <c r="D755" s="2" t="s">
        <v>552</v>
      </c>
      <c r="E755" s="2" t="s">
        <v>15</v>
      </c>
      <c r="F755" s="3">
        <v>1822</v>
      </c>
      <c r="G755" t="s">
        <v>592</v>
      </c>
      <c r="H755" s="1" t="s">
        <v>60</v>
      </c>
      <c r="I755" t="s">
        <v>593</v>
      </c>
      <c r="J755" t="s">
        <v>271</v>
      </c>
      <c r="K755" t="s">
        <v>272</v>
      </c>
      <c r="L755" t="s">
        <v>273</v>
      </c>
      <c r="M755">
        <v>901760</v>
      </c>
    </row>
    <row r="756" spans="1:13" ht="15">
      <c r="A756" s="4">
        <v>201404</v>
      </c>
      <c r="B756" t="s">
        <v>270</v>
      </c>
      <c r="C756" s="5">
        <v>6530140</v>
      </c>
      <c r="D756" s="2" t="s">
        <v>552</v>
      </c>
      <c r="E756" s="2" t="s">
        <v>15</v>
      </c>
      <c r="F756" s="3">
        <v>7563.9</v>
      </c>
      <c r="G756" t="s">
        <v>110</v>
      </c>
      <c r="H756" s="1" t="s">
        <v>60</v>
      </c>
      <c r="I756" t="s">
        <v>594</v>
      </c>
      <c r="J756" t="s">
        <v>271</v>
      </c>
      <c r="K756" t="s">
        <v>272</v>
      </c>
      <c r="L756" t="s">
        <v>273</v>
      </c>
      <c r="M756">
        <v>900902</v>
      </c>
    </row>
    <row r="757" spans="1:13" ht="15">
      <c r="A757" s="4">
        <v>201404</v>
      </c>
      <c r="B757" t="s">
        <v>270</v>
      </c>
      <c r="C757" s="5">
        <v>6530140</v>
      </c>
      <c r="D757" s="2" t="s">
        <v>552</v>
      </c>
      <c r="E757" s="2" t="s">
        <v>15</v>
      </c>
      <c r="F757" s="3">
        <v>9907.2</v>
      </c>
      <c r="G757" t="s">
        <v>579</v>
      </c>
      <c r="H757" s="1" t="s">
        <v>60</v>
      </c>
      <c r="I757" t="s">
        <v>595</v>
      </c>
      <c r="J757" t="s">
        <v>271</v>
      </c>
      <c r="K757" t="s">
        <v>272</v>
      </c>
      <c r="L757" t="s">
        <v>273</v>
      </c>
      <c r="M757">
        <v>901577</v>
      </c>
    </row>
    <row r="758" spans="1:13" ht="15">
      <c r="A758" s="4">
        <v>201404</v>
      </c>
      <c r="B758" t="s">
        <v>270</v>
      </c>
      <c r="C758" s="5">
        <v>6530140</v>
      </c>
      <c r="D758" s="2" t="s">
        <v>552</v>
      </c>
      <c r="E758" s="2" t="s">
        <v>15</v>
      </c>
      <c r="F758" s="3">
        <v>11634.8</v>
      </c>
      <c r="G758" t="s">
        <v>110</v>
      </c>
      <c r="H758" s="1" t="s">
        <v>60</v>
      </c>
      <c r="I758" t="s">
        <v>583</v>
      </c>
      <c r="J758" t="s">
        <v>271</v>
      </c>
      <c r="K758" t="s">
        <v>272</v>
      </c>
      <c r="L758" t="s">
        <v>273</v>
      </c>
      <c r="M758">
        <v>900902</v>
      </c>
    </row>
    <row r="759" spans="1:12" ht="15">
      <c r="A759" s="4">
        <v>201405</v>
      </c>
      <c r="B759" t="s">
        <v>270</v>
      </c>
      <c r="C759" s="5">
        <v>6530140</v>
      </c>
      <c r="D759" s="2" t="s">
        <v>552</v>
      </c>
      <c r="E759" s="2" t="s">
        <v>15</v>
      </c>
      <c r="F759" s="3">
        <v>0</v>
      </c>
      <c r="H759" s="1" t="s">
        <v>60</v>
      </c>
      <c r="I759" t="s">
        <v>570</v>
      </c>
      <c r="J759" t="s">
        <v>271</v>
      </c>
      <c r="K759" t="s">
        <v>272</v>
      </c>
      <c r="L759" t="s">
        <v>273</v>
      </c>
    </row>
    <row r="760" spans="1:12" ht="15">
      <c r="A760" s="4">
        <v>201406</v>
      </c>
      <c r="B760" t="s">
        <v>270</v>
      </c>
      <c r="C760" s="5">
        <v>6530140</v>
      </c>
      <c r="D760" s="2" t="s">
        <v>552</v>
      </c>
      <c r="E760" s="2" t="s">
        <v>15</v>
      </c>
      <c r="F760" s="3">
        <v>0</v>
      </c>
      <c r="H760" s="1" t="s">
        <v>60</v>
      </c>
      <c r="I760" t="s">
        <v>570</v>
      </c>
      <c r="J760" t="s">
        <v>271</v>
      </c>
      <c r="K760" t="s">
        <v>272</v>
      </c>
      <c r="L760" t="s">
        <v>273</v>
      </c>
    </row>
    <row r="761" spans="1:14" ht="15">
      <c r="A761" s="4">
        <v>201406</v>
      </c>
      <c r="B761" t="s">
        <v>270</v>
      </c>
      <c r="C761" s="5">
        <v>6530140</v>
      </c>
      <c r="D761" s="2" t="s">
        <v>552</v>
      </c>
      <c r="E761" s="2" t="s">
        <v>15</v>
      </c>
      <c r="F761" s="3">
        <v>280.17</v>
      </c>
      <c r="G761" t="s">
        <v>57</v>
      </c>
      <c r="H761" s="1" t="s">
        <v>60</v>
      </c>
      <c r="I761">
        <f>-11039/454429/1</f>
        <v>-0.024292023616450536</v>
      </c>
      <c r="J761" t="s">
        <v>271</v>
      </c>
      <c r="K761" t="s">
        <v>272</v>
      </c>
      <c r="L761" t="s">
        <v>273</v>
      </c>
      <c r="N761" t="s">
        <v>58</v>
      </c>
    </row>
    <row r="762" spans="1:13" ht="15">
      <c r="A762" s="4">
        <v>201406</v>
      </c>
      <c r="B762" t="s">
        <v>270</v>
      </c>
      <c r="C762" s="5">
        <v>6530140</v>
      </c>
      <c r="D762" s="2" t="s">
        <v>552</v>
      </c>
      <c r="E762" s="2" t="s">
        <v>15</v>
      </c>
      <c r="F762" s="3">
        <v>4669.5</v>
      </c>
      <c r="G762" t="s">
        <v>592</v>
      </c>
      <c r="H762" s="1" t="s">
        <v>60</v>
      </c>
      <c r="I762" t="s">
        <v>596</v>
      </c>
      <c r="J762" t="s">
        <v>271</v>
      </c>
      <c r="K762" t="s">
        <v>272</v>
      </c>
      <c r="L762" t="s">
        <v>273</v>
      </c>
      <c r="M762">
        <v>905036</v>
      </c>
    </row>
    <row r="763" spans="1:12" ht="15">
      <c r="A763" s="4">
        <v>201407</v>
      </c>
      <c r="B763" t="s">
        <v>270</v>
      </c>
      <c r="C763" s="5">
        <v>6530140</v>
      </c>
      <c r="D763" s="2" t="s">
        <v>552</v>
      </c>
      <c r="E763" s="2" t="s">
        <v>15</v>
      </c>
      <c r="F763" s="3">
        <v>0</v>
      </c>
      <c r="H763" s="1" t="s">
        <v>60</v>
      </c>
      <c r="I763" t="s">
        <v>570</v>
      </c>
      <c r="J763" t="s">
        <v>271</v>
      </c>
      <c r="K763" t="s">
        <v>272</v>
      </c>
      <c r="L763" t="s">
        <v>273</v>
      </c>
    </row>
    <row r="764" spans="1:12" ht="15">
      <c r="A764" s="4">
        <v>201408</v>
      </c>
      <c r="B764" t="s">
        <v>270</v>
      </c>
      <c r="C764" s="5">
        <v>6530140</v>
      </c>
      <c r="D764" s="2" t="s">
        <v>552</v>
      </c>
      <c r="E764" s="2" t="s">
        <v>15</v>
      </c>
      <c r="F764" s="3">
        <v>-2246.34</v>
      </c>
      <c r="H764" s="1" t="s">
        <v>60</v>
      </c>
      <c r="I764" t="s">
        <v>570</v>
      </c>
      <c r="J764" t="s">
        <v>271</v>
      </c>
      <c r="K764" t="s">
        <v>272</v>
      </c>
      <c r="L764" t="s">
        <v>273</v>
      </c>
    </row>
    <row r="765" spans="1:14" ht="15">
      <c r="A765" s="4">
        <v>201408</v>
      </c>
      <c r="B765" t="s">
        <v>270</v>
      </c>
      <c r="C765" s="5">
        <v>6530140</v>
      </c>
      <c r="D765" s="2" t="s">
        <v>552</v>
      </c>
      <c r="E765" s="2" t="s">
        <v>15</v>
      </c>
      <c r="F765" s="3">
        <v>0.01</v>
      </c>
      <c r="G765" t="s">
        <v>57</v>
      </c>
      <c r="H765" s="1" t="s">
        <v>60</v>
      </c>
      <c r="I765">
        <f>-72123/4113392/2</f>
        <v>-0.00876685227179904</v>
      </c>
      <c r="J765" t="s">
        <v>271</v>
      </c>
      <c r="K765" t="s">
        <v>272</v>
      </c>
      <c r="L765" t="s">
        <v>273</v>
      </c>
      <c r="N765" t="s">
        <v>58</v>
      </c>
    </row>
    <row r="766" spans="1:14" ht="15">
      <c r="A766" s="4">
        <v>201408</v>
      </c>
      <c r="B766" t="s">
        <v>270</v>
      </c>
      <c r="C766" s="5">
        <v>6530140</v>
      </c>
      <c r="D766" s="2" t="s">
        <v>552</v>
      </c>
      <c r="E766" s="2" t="s">
        <v>15</v>
      </c>
      <c r="F766" s="3">
        <v>0.53</v>
      </c>
      <c r="G766" t="s">
        <v>57</v>
      </c>
      <c r="H766" s="1" t="s">
        <v>60</v>
      </c>
      <c r="I766">
        <f>-72123/4113393/1</f>
        <v>-0.01753370028100889</v>
      </c>
      <c r="J766" t="s">
        <v>271</v>
      </c>
      <c r="K766" t="s">
        <v>272</v>
      </c>
      <c r="L766" t="s">
        <v>273</v>
      </c>
      <c r="N766" t="s">
        <v>58</v>
      </c>
    </row>
    <row r="767" spans="1:13" ht="15">
      <c r="A767" s="4">
        <v>201408</v>
      </c>
      <c r="B767" t="s">
        <v>270</v>
      </c>
      <c r="C767" s="5">
        <v>6530140</v>
      </c>
      <c r="D767" s="2" t="s">
        <v>552</v>
      </c>
      <c r="E767" s="2" t="s">
        <v>15</v>
      </c>
      <c r="F767" s="3">
        <v>8.77</v>
      </c>
      <c r="G767" t="s">
        <v>110</v>
      </c>
      <c r="H767" s="1" t="s">
        <v>60</v>
      </c>
      <c r="I767" t="s">
        <v>597</v>
      </c>
      <c r="J767" t="s">
        <v>271</v>
      </c>
      <c r="K767" t="s">
        <v>272</v>
      </c>
      <c r="L767" t="s">
        <v>273</v>
      </c>
      <c r="M767">
        <v>900902</v>
      </c>
    </row>
    <row r="768" spans="1:13" ht="15">
      <c r="A768" s="4">
        <v>201408</v>
      </c>
      <c r="B768" t="s">
        <v>270</v>
      </c>
      <c r="C768" s="5">
        <v>6530140</v>
      </c>
      <c r="D768" s="2" t="s">
        <v>552</v>
      </c>
      <c r="E768" s="2" t="s">
        <v>15</v>
      </c>
      <c r="F768" s="3">
        <v>148.39</v>
      </c>
      <c r="G768" t="s">
        <v>110</v>
      </c>
      <c r="H768" s="1" t="s">
        <v>60</v>
      </c>
      <c r="I768" t="s">
        <v>598</v>
      </c>
      <c r="J768" t="s">
        <v>271</v>
      </c>
      <c r="K768" t="s">
        <v>272</v>
      </c>
      <c r="L768" t="s">
        <v>273</v>
      </c>
      <c r="M768">
        <v>900902</v>
      </c>
    </row>
    <row r="769" spans="1:14" ht="15">
      <c r="A769" s="4">
        <v>201408</v>
      </c>
      <c r="B769" t="s">
        <v>270</v>
      </c>
      <c r="C769" s="5">
        <v>6530140</v>
      </c>
      <c r="D769" s="2" t="s">
        <v>552</v>
      </c>
      <c r="E769" s="2" t="s">
        <v>15</v>
      </c>
      <c r="F769" s="3">
        <v>250.66</v>
      </c>
      <c r="G769" t="s">
        <v>57</v>
      </c>
      <c r="H769" s="1" t="s">
        <v>60</v>
      </c>
      <c r="I769">
        <f>-72123/4113392/1</f>
        <v>-0.01753370454359808</v>
      </c>
      <c r="J769" t="s">
        <v>271</v>
      </c>
      <c r="K769" t="s">
        <v>272</v>
      </c>
      <c r="L769" t="s">
        <v>273</v>
      </c>
      <c r="N769" t="s">
        <v>58</v>
      </c>
    </row>
    <row r="770" spans="1:13" ht="15">
      <c r="A770" s="4">
        <v>201408</v>
      </c>
      <c r="B770" t="s">
        <v>270</v>
      </c>
      <c r="C770" s="5">
        <v>6530140</v>
      </c>
      <c r="D770" s="2" t="s">
        <v>552</v>
      </c>
      <c r="E770" s="2" t="s">
        <v>15</v>
      </c>
      <c r="F770" s="3">
        <v>405.65</v>
      </c>
      <c r="G770" t="s">
        <v>110</v>
      </c>
      <c r="H770" s="1" t="s">
        <v>60</v>
      </c>
      <c r="I770" t="s">
        <v>599</v>
      </c>
      <c r="J770" t="s">
        <v>271</v>
      </c>
      <c r="K770" t="s">
        <v>272</v>
      </c>
      <c r="L770" t="s">
        <v>273</v>
      </c>
      <c r="M770">
        <v>900902</v>
      </c>
    </row>
    <row r="771" spans="1:13" ht="15">
      <c r="A771" s="4">
        <v>201408</v>
      </c>
      <c r="B771" t="s">
        <v>270</v>
      </c>
      <c r="C771" s="5">
        <v>6530140</v>
      </c>
      <c r="D771" s="2" t="s">
        <v>552</v>
      </c>
      <c r="E771" s="2" t="s">
        <v>15</v>
      </c>
      <c r="F771" s="3">
        <v>684.49</v>
      </c>
      <c r="G771" t="s">
        <v>110</v>
      </c>
      <c r="H771" s="1" t="s">
        <v>60</v>
      </c>
      <c r="I771" t="s">
        <v>583</v>
      </c>
      <c r="J771" t="s">
        <v>271</v>
      </c>
      <c r="K771" t="s">
        <v>272</v>
      </c>
      <c r="L771" t="s">
        <v>273</v>
      </c>
      <c r="M771">
        <v>900902</v>
      </c>
    </row>
    <row r="772" spans="1:13" ht="15">
      <c r="A772" s="4">
        <v>201408</v>
      </c>
      <c r="B772" t="s">
        <v>270</v>
      </c>
      <c r="C772" s="5">
        <v>6530140</v>
      </c>
      <c r="D772" s="2" t="s">
        <v>552</v>
      </c>
      <c r="E772" s="2" t="s">
        <v>15</v>
      </c>
      <c r="F772" s="3">
        <v>692.96</v>
      </c>
      <c r="G772" t="s">
        <v>110</v>
      </c>
      <c r="H772" s="1" t="s">
        <v>60</v>
      </c>
      <c r="I772" t="s">
        <v>600</v>
      </c>
      <c r="J772" t="s">
        <v>271</v>
      </c>
      <c r="K772" t="s">
        <v>272</v>
      </c>
      <c r="L772" t="s">
        <v>273</v>
      </c>
      <c r="M772">
        <v>900902</v>
      </c>
    </row>
    <row r="773" spans="1:13" ht="15">
      <c r="A773" s="4">
        <v>201408</v>
      </c>
      <c r="B773" t="s">
        <v>270</v>
      </c>
      <c r="C773" s="5">
        <v>6530140</v>
      </c>
      <c r="D773" s="2" t="s">
        <v>552</v>
      </c>
      <c r="E773" s="2" t="s">
        <v>15</v>
      </c>
      <c r="F773" s="3">
        <v>1050.84</v>
      </c>
      <c r="G773" t="s">
        <v>110</v>
      </c>
      <c r="H773" s="1" t="s">
        <v>60</v>
      </c>
      <c r="I773" t="s">
        <v>601</v>
      </c>
      <c r="J773" t="s">
        <v>271</v>
      </c>
      <c r="K773" t="s">
        <v>272</v>
      </c>
      <c r="L773" t="s">
        <v>273</v>
      </c>
      <c r="M773">
        <v>900902</v>
      </c>
    </row>
    <row r="774" spans="1:13" ht="15">
      <c r="A774" s="4">
        <v>201408</v>
      </c>
      <c r="B774" t="s">
        <v>270</v>
      </c>
      <c r="C774" s="5">
        <v>6530140</v>
      </c>
      <c r="D774" s="2" t="s">
        <v>552</v>
      </c>
      <c r="E774" s="2" t="s">
        <v>15</v>
      </c>
      <c r="F774" s="3">
        <v>1195.55</v>
      </c>
      <c r="G774" t="s">
        <v>110</v>
      </c>
      <c r="H774" s="1" t="s">
        <v>60</v>
      </c>
      <c r="I774" t="s">
        <v>602</v>
      </c>
      <c r="J774" t="s">
        <v>271</v>
      </c>
      <c r="K774" t="s">
        <v>272</v>
      </c>
      <c r="L774" t="s">
        <v>273</v>
      </c>
      <c r="M774">
        <v>900902</v>
      </c>
    </row>
    <row r="775" spans="1:12" ht="15">
      <c r="A775" s="4">
        <v>201402</v>
      </c>
      <c r="B775" t="s">
        <v>270</v>
      </c>
      <c r="C775" s="5">
        <v>6530140</v>
      </c>
      <c r="D775" s="2" t="s">
        <v>552</v>
      </c>
      <c r="E775" s="2" t="s">
        <v>15</v>
      </c>
      <c r="F775" s="3">
        <v>0</v>
      </c>
      <c r="H775" s="1" t="s">
        <v>68</v>
      </c>
      <c r="J775" t="s">
        <v>271</v>
      </c>
      <c r="K775" t="s">
        <v>272</v>
      </c>
      <c r="L775" t="s">
        <v>273</v>
      </c>
    </row>
    <row r="776" spans="1:12" ht="15">
      <c r="A776" s="4">
        <v>201402</v>
      </c>
      <c r="B776" t="s">
        <v>270</v>
      </c>
      <c r="C776" s="5">
        <v>6530140</v>
      </c>
      <c r="D776" s="2" t="s">
        <v>552</v>
      </c>
      <c r="E776" s="2" t="s">
        <v>15</v>
      </c>
      <c r="F776" s="3">
        <v>6</v>
      </c>
      <c r="H776" s="1" t="s">
        <v>68</v>
      </c>
      <c r="J776" t="s">
        <v>271</v>
      </c>
      <c r="K776" t="s">
        <v>272</v>
      </c>
      <c r="L776" t="s">
        <v>273</v>
      </c>
    </row>
    <row r="777" spans="1:14" ht="15">
      <c r="A777" s="4">
        <v>201403</v>
      </c>
      <c r="B777" t="s">
        <v>270</v>
      </c>
      <c r="C777" s="5">
        <v>6530140</v>
      </c>
      <c r="D777" s="2" t="s">
        <v>552</v>
      </c>
      <c r="E777" s="2" t="s">
        <v>15</v>
      </c>
      <c r="F777" s="3">
        <v>6.6</v>
      </c>
      <c r="G777" t="s">
        <v>57</v>
      </c>
      <c r="H777" s="1" t="s">
        <v>69</v>
      </c>
      <c r="I777">
        <f>-66640/372907/1</f>
        <v>-0.17870407366984262</v>
      </c>
      <c r="J777" t="s">
        <v>271</v>
      </c>
      <c r="K777" t="s">
        <v>272</v>
      </c>
      <c r="L777" t="s">
        <v>273</v>
      </c>
      <c r="N777" t="s">
        <v>58</v>
      </c>
    </row>
    <row r="778" spans="1:12" ht="15">
      <c r="A778" s="4">
        <v>201403</v>
      </c>
      <c r="B778" t="s">
        <v>270</v>
      </c>
      <c r="C778" s="5">
        <v>6530140</v>
      </c>
      <c r="D778" s="2" t="s">
        <v>552</v>
      </c>
      <c r="E778" s="2" t="s">
        <v>15</v>
      </c>
      <c r="F778" s="3">
        <v>109.96</v>
      </c>
      <c r="G778" t="s">
        <v>564</v>
      </c>
      <c r="H778" s="1" t="s">
        <v>69</v>
      </c>
      <c r="I778" t="e">
        <f>-freight</f>
        <v>#NAME?</v>
      </c>
      <c r="J778" t="s">
        <v>271</v>
      </c>
      <c r="K778" t="s">
        <v>272</v>
      </c>
      <c r="L778" t="s">
        <v>273</v>
      </c>
    </row>
    <row r="779" spans="1:14" ht="15">
      <c r="A779" s="4">
        <v>201404</v>
      </c>
      <c r="B779" t="s">
        <v>270</v>
      </c>
      <c r="C779" s="5">
        <v>6530140</v>
      </c>
      <c r="D779" s="2" t="s">
        <v>552</v>
      </c>
      <c r="E779" s="2" t="s">
        <v>15</v>
      </c>
      <c r="F779" s="3">
        <v>0.86</v>
      </c>
      <c r="G779" t="s">
        <v>57</v>
      </c>
      <c r="H779" s="1" t="s">
        <v>69</v>
      </c>
      <c r="I779">
        <f>-11039/451819/1</f>
        <v>-0.024432350122504807</v>
      </c>
      <c r="J779" t="s">
        <v>271</v>
      </c>
      <c r="K779" t="s">
        <v>272</v>
      </c>
      <c r="L779" t="s">
        <v>273</v>
      </c>
      <c r="N779" t="s">
        <v>58</v>
      </c>
    </row>
    <row r="780" spans="1:12" ht="15">
      <c r="A780" s="4">
        <v>201404</v>
      </c>
      <c r="B780" t="s">
        <v>270</v>
      </c>
      <c r="C780" s="5">
        <v>6530140</v>
      </c>
      <c r="D780" s="2" t="s">
        <v>552</v>
      </c>
      <c r="E780" s="2" t="s">
        <v>15</v>
      </c>
      <c r="F780" s="3">
        <v>14.38</v>
      </c>
      <c r="G780" t="s">
        <v>592</v>
      </c>
      <c r="H780" s="1" t="s">
        <v>69</v>
      </c>
      <c r="I780" t="e">
        <f>-freight</f>
        <v>#NAME?</v>
      </c>
      <c r="J780" t="s">
        <v>271</v>
      </c>
      <c r="K780" t="s">
        <v>272</v>
      </c>
      <c r="L780" t="s">
        <v>273</v>
      </c>
    </row>
    <row r="781" spans="1:14" ht="15">
      <c r="A781" s="4">
        <v>201404</v>
      </c>
      <c r="B781" t="s">
        <v>270</v>
      </c>
      <c r="C781" s="5">
        <v>6530140</v>
      </c>
      <c r="D781" s="2" t="s">
        <v>552</v>
      </c>
      <c r="E781" s="2" t="s">
        <v>15</v>
      </c>
      <c r="F781" s="3">
        <v>23.47</v>
      </c>
      <c r="G781" t="s">
        <v>57</v>
      </c>
      <c r="H781" s="1" t="s">
        <v>69</v>
      </c>
      <c r="I781" t="e">
        <f>-71949/Q624/1</f>
        <v>#DIV/0!</v>
      </c>
      <c r="J781" t="s">
        <v>271</v>
      </c>
      <c r="K781" t="s">
        <v>272</v>
      </c>
      <c r="L781" t="s">
        <v>273</v>
      </c>
      <c r="N781" t="s">
        <v>58</v>
      </c>
    </row>
    <row r="782" spans="1:12" ht="15">
      <c r="A782" s="4">
        <v>201404</v>
      </c>
      <c r="B782" t="s">
        <v>270</v>
      </c>
      <c r="C782" s="5">
        <v>6530140</v>
      </c>
      <c r="D782" s="2" t="s">
        <v>552</v>
      </c>
      <c r="E782" s="2" t="s">
        <v>15</v>
      </c>
      <c r="F782" s="3">
        <v>391.2</v>
      </c>
      <c r="G782" t="s">
        <v>579</v>
      </c>
      <c r="H782" s="1" t="s">
        <v>69</v>
      </c>
      <c r="I782" t="e">
        <f>-freight</f>
        <v>#NAME?</v>
      </c>
      <c r="J782" t="s">
        <v>271</v>
      </c>
      <c r="K782" t="s">
        <v>272</v>
      </c>
      <c r="L782" t="s">
        <v>273</v>
      </c>
    </row>
    <row r="783" spans="1:14" ht="15">
      <c r="A783" s="4">
        <v>201406</v>
      </c>
      <c r="B783" t="s">
        <v>270</v>
      </c>
      <c r="C783" s="5">
        <v>6530140</v>
      </c>
      <c r="D783" s="2" t="s">
        <v>552</v>
      </c>
      <c r="E783" s="2" t="s">
        <v>15</v>
      </c>
      <c r="F783" s="3">
        <v>3.5</v>
      </c>
      <c r="G783" t="s">
        <v>57</v>
      </c>
      <c r="H783" s="1" t="s">
        <v>69</v>
      </c>
      <c r="I783">
        <f>-11039/454429/1</f>
        <v>-0.024292023616450536</v>
      </c>
      <c r="J783" t="s">
        <v>271</v>
      </c>
      <c r="K783" t="s">
        <v>272</v>
      </c>
      <c r="L783" t="s">
        <v>273</v>
      </c>
      <c r="N783" t="s">
        <v>58</v>
      </c>
    </row>
    <row r="784" spans="1:12" ht="15">
      <c r="A784" s="4">
        <v>201406</v>
      </c>
      <c r="B784" t="s">
        <v>270</v>
      </c>
      <c r="C784" s="5">
        <v>6530140</v>
      </c>
      <c r="D784" s="2" t="s">
        <v>552</v>
      </c>
      <c r="E784" s="2" t="s">
        <v>15</v>
      </c>
      <c r="F784" s="3">
        <v>58.41</v>
      </c>
      <c r="G784" t="s">
        <v>592</v>
      </c>
      <c r="H784" s="1" t="s">
        <v>69</v>
      </c>
      <c r="I784" t="e">
        <f>-freight</f>
        <v>#NAME?</v>
      </c>
      <c r="J784" t="s">
        <v>271</v>
      </c>
      <c r="K784" t="s">
        <v>272</v>
      </c>
      <c r="L784" t="s">
        <v>273</v>
      </c>
    </row>
    <row r="785" spans="1:14" ht="15">
      <c r="A785" s="4">
        <v>201408</v>
      </c>
      <c r="B785" t="s">
        <v>270</v>
      </c>
      <c r="C785" s="5">
        <v>6530140</v>
      </c>
      <c r="D785" s="2" t="s">
        <v>552</v>
      </c>
      <c r="E785" s="2" t="s">
        <v>15</v>
      </c>
      <c r="F785" s="3">
        <v>4.7</v>
      </c>
      <c r="G785" t="s">
        <v>57</v>
      </c>
      <c r="H785" s="1" t="s">
        <v>69</v>
      </c>
      <c r="I785">
        <f>-72123/4118707/1</f>
        <v>-0.017511078112621266</v>
      </c>
      <c r="J785" t="s">
        <v>271</v>
      </c>
      <c r="K785" t="s">
        <v>272</v>
      </c>
      <c r="L785" t="s">
        <v>273</v>
      </c>
      <c r="N785" t="s">
        <v>58</v>
      </c>
    </row>
    <row r="786" spans="1:12" ht="15">
      <c r="A786" s="4">
        <v>201408</v>
      </c>
      <c r="B786" t="s">
        <v>270</v>
      </c>
      <c r="C786" s="5">
        <v>6530140</v>
      </c>
      <c r="D786" s="2" t="s">
        <v>552</v>
      </c>
      <c r="E786" s="2" t="s">
        <v>15</v>
      </c>
      <c r="F786" s="3">
        <v>78.37</v>
      </c>
      <c r="G786" t="s">
        <v>110</v>
      </c>
      <c r="H786" s="1" t="s">
        <v>69</v>
      </c>
      <c r="I786" t="s">
        <v>603</v>
      </c>
      <c r="J786" t="s">
        <v>271</v>
      </c>
      <c r="K786" t="s">
        <v>272</v>
      </c>
      <c r="L786" t="s">
        <v>273</v>
      </c>
    </row>
    <row r="787" spans="1:12" ht="15">
      <c r="A787" s="4">
        <v>201402</v>
      </c>
      <c r="B787" t="s">
        <v>270</v>
      </c>
      <c r="C787" s="5">
        <v>6530141</v>
      </c>
      <c r="D787" s="2" t="s">
        <v>604</v>
      </c>
      <c r="E787" s="2" t="s">
        <v>15</v>
      </c>
      <c r="F787" s="3">
        <v>3.35</v>
      </c>
      <c r="H787" s="1" t="s">
        <v>14</v>
      </c>
      <c r="I787" t="s">
        <v>20</v>
      </c>
      <c r="J787" t="s">
        <v>271</v>
      </c>
      <c r="K787" t="s">
        <v>272</v>
      </c>
      <c r="L787" t="s">
        <v>273</v>
      </c>
    </row>
    <row r="788" spans="1:12" ht="15">
      <c r="A788" s="4">
        <v>201402</v>
      </c>
      <c r="B788" t="s">
        <v>270</v>
      </c>
      <c r="C788" s="5">
        <v>6530141</v>
      </c>
      <c r="D788" s="2" t="s">
        <v>604</v>
      </c>
      <c r="E788" s="2" t="s">
        <v>15</v>
      </c>
      <c r="F788" s="3">
        <v>16.8</v>
      </c>
      <c r="H788" s="1" t="s">
        <v>14</v>
      </c>
      <c r="I788" t="s">
        <v>605</v>
      </c>
      <c r="J788" t="s">
        <v>271</v>
      </c>
      <c r="K788" t="s">
        <v>272</v>
      </c>
      <c r="L788" t="s">
        <v>273</v>
      </c>
    </row>
    <row r="789" spans="1:12" ht="15">
      <c r="A789" s="4">
        <v>201402</v>
      </c>
      <c r="B789" t="s">
        <v>270</v>
      </c>
      <c r="C789" s="5">
        <v>6530141</v>
      </c>
      <c r="D789" s="2" t="s">
        <v>604</v>
      </c>
      <c r="E789" s="2" t="s">
        <v>15</v>
      </c>
      <c r="F789" s="3">
        <v>23.23</v>
      </c>
      <c r="H789" s="1" t="s">
        <v>14</v>
      </c>
      <c r="I789" t="s">
        <v>606</v>
      </c>
      <c r="J789" t="s">
        <v>271</v>
      </c>
      <c r="K789" t="s">
        <v>272</v>
      </c>
      <c r="L789" t="s">
        <v>273</v>
      </c>
    </row>
    <row r="790" spans="1:12" ht="15">
      <c r="A790" s="4">
        <v>201402</v>
      </c>
      <c r="B790" t="s">
        <v>270</v>
      </c>
      <c r="C790" s="5">
        <v>6530141</v>
      </c>
      <c r="D790" s="2" t="s">
        <v>604</v>
      </c>
      <c r="E790" s="2" t="s">
        <v>15</v>
      </c>
      <c r="F790" s="3">
        <v>25.16</v>
      </c>
      <c r="H790" s="1" t="s">
        <v>14</v>
      </c>
      <c r="I790" t="s">
        <v>387</v>
      </c>
      <c r="J790" t="s">
        <v>271</v>
      </c>
      <c r="K790" t="s">
        <v>272</v>
      </c>
      <c r="L790" t="s">
        <v>273</v>
      </c>
    </row>
    <row r="791" spans="1:12" ht="15">
      <c r="A791" s="4">
        <v>201402</v>
      </c>
      <c r="B791" t="s">
        <v>270</v>
      </c>
      <c r="C791" s="5">
        <v>6530141</v>
      </c>
      <c r="D791" s="2" t="s">
        <v>604</v>
      </c>
      <c r="E791" s="2" t="s">
        <v>15</v>
      </c>
      <c r="F791" s="3">
        <v>26.58</v>
      </c>
      <c r="H791" s="1" t="s">
        <v>14</v>
      </c>
      <c r="I791" t="s">
        <v>89</v>
      </c>
      <c r="J791" t="s">
        <v>271</v>
      </c>
      <c r="K791" t="s">
        <v>272</v>
      </c>
      <c r="L791" t="s">
        <v>273</v>
      </c>
    </row>
    <row r="792" spans="1:12" ht="15">
      <c r="A792" s="4">
        <v>201402</v>
      </c>
      <c r="B792" t="s">
        <v>270</v>
      </c>
      <c r="C792" s="5">
        <v>6530141</v>
      </c>
      <c r="D792" s="2" t="s">
        <v>604</v>
      </c>
      <c r="E792" s="2" t="s">
        <v>15</v>
      </c>
      <c r="F792" s="3">
        <v>67.06</v>
      </c>
      <c r="H792" s="1" t="s">
        <v>14</v>
      </c>
      <c r="I792" t="s">
        <v>607</v>
      </c>
      <c r="J792" t="s">
        <v>271</v>
      </c>
      <c r="K792" t="s">
        <v>272</v>
      </c>
      <c r="L792" t="s">
        <v>273</v>
      </c>
    </row>
    <row r="793" spans="1:12" ht="15">
      <c r="A793" s="4">
        <v>201402</v>
      </c>
      <c r="B793" t="s">
        <v>270</v>
      </c>
      <c r="C793" s="5">
        <v>6530141</v>
      </c>
      <c r="D793" s="2" t="s">
        <v>604</v>
      </c>
      <c r="E793" s="2" t="s">
        <v>15</v>
      </c>
      <c r="F793" s="3">
        <v>97.63</v>
      </c>
      <c r="H793" s="1" t="s">
        <v>14</v>
      </c>
      <c r="I793" t="s">
        <v>608</v>
      </c>
      <c r="J793" t="s">
        <v>271</v>
      </c>
      <c r="K793" t="s">
        <v>272</v>
      </c>
      <c r="L793" t="s">
        <v>273</v>
      </c>
    </row>
    <row r="794" spans="1:13" ht="15">
      <c r="A794" s="4">
        <v>201404</v>
      </c>
      <c r="B794" t="s">
        <v>270</v>
      </c>
      <c r="C794" s="5">
        <v>6530141</v>
      </c>
      <c r="D794" s="2" t="s">
        <v>604</v>
      </c>
      <c r="E794" s="2" t="s">
        <v>15</v>
      </c>
      <c r="F794" s="3">
        <v>19100</v>
      </c>
      <c r="G794" t="s">
        <v>550</v>
      </c>
      <c r="H794" s="1" t="s">
        <v>44</v>
      </c>
      <c r="I794" t="s">
        <v>609</v>
      </c>
      <c r="J794" t="s">
        <v>271</v>
      </c>
      <c r="K794" t="s">
        <v>272</v>
      </c>
      <c r="L794" t="s">
        <v>273</v>
      </c>
      <c r="M794">
        <v>903414</v>
      </c>
    </row>
    <row r="795" spans="1:13" ht="15">
      <c r="A795" s="4">
        <v>201405</v>
      </c>
      <c r="B795" t="s">
        <v>270</v>
      </c>
      <c r="C795" s="5">
        <v>6530141</v>
      </c>
      <c r="D795" s="2" t="s">
        <v>604</v>
      </c>
      <c r="E795" s="2" t="s">
        <v>15</v>
      </c>
      <c r="F795" s="3">
        <v>1939.8</v>
      </c>
      <c r="G795" t="s">
        <v>610</v>
      </c>
      <c r="H795" s="1" t="s">
        <v>44</v>
      </c>
      <c r="I795" t="e">
        <f>-labor-Cursory RE-INSPECTION of REPAIR work</f>
        <v>#NAME?</v>
      </c>
      <c r="J795" t="s">
        <v>271</v>
      </c>
      <c r="K795" t="s">
        <v>272</v>
      </c>
      <c r="L795" t="s">
        <v>273</v>
      </c>
      <c r="M795">
        <v>898255</v>
      </c>
    </row>
    <row r="796" spans="1:13" ht="15">
      <c r="A796" s="4">
        <v>201404</v>
      </c>
      <c r="B796" t="s">
        <v>270</v>
      </c>
      <c r="C796" s="5">
        <v>6530141</v>
      </c>
      <c r="D796" s="2" t="s">
        <v>604</v>
      </c>
      <c r="E796" s="2" t="s">
        <v>15</v>
      </c>
      <c r="F796" s="3">
        <v>4700</v>
      </c>
      <c r="G796" t="s">
        <v>550</v>
      </c>
      <c r="H796" s="1" t="s">
        <v>78</v>
      </c>
      <c r="I796" t="s">
        <v>609</v>
      </c>
      <c r="J796" t="s">
        <v>271</v>
      </c>
      <c r="K796" t="s">
        <v>272</v>
      </c>
      <c r="L796" t="s">
        <v>273</v>
      </c>
      <c r="M796">
        <v>903414</v>
      </c>
    </row>
    <row r="797" spans="1:12" ht="15">
      <c r="A797" s="4">
        <v>201404</v>
      </c>
      <c r="B797" t="s">
        <v>270</v>
      </c>
      <c r="C797" s="5">
        <v>6530142</v>
      </c>
      <c r="D797" s="2" t="s">
        <v>611</v>
      </c>
      <c r="E797" s="2" t="s">
        <v>15</v>
      </c>
      <c r="F797" s="3">
        <v>-1224</v>
      </c>
      <c r="G797" t="s">
        <v>201</v>
      </c>
      <c r="H797" s="1" t="s">
        <v>44</v>
      </c>
      <c r="I797" t="e">
        <f>-CORRECT SALES TAX ACCT TMP</f>
        <v>#NAME?</v>
      </c>
      <c r="J797" t="s">
        <v>271</v>
      </c>
      <c r="K797" t="s">
        <v>272</v>
      </c>
      <c r="L797" t="s">
        <v>273</v>
      </c>
    </row>
    <row r="798" spans="1:13" ht="15">
      <c r="A798" s="4">
        <v>201404</v>
      </c>
      <c r="B798" t="s">
        <v>270</v>
      </c>
      <c r="C798" s="5">
        <v>6530142</v>
      </c>
      <c r="D798" s="2" t="s">
        <v>611</v>
      </c>
      <c r="E798" s="2" t="s">
        <v>15</v>
      </c>
      <c r="F798" s="3">
        <v>14500</v>
      </c>
      <c r="G798" t="s">
        <v>201</v>
      </c>
      <c r="H798" s="1" t="s">
        <v>44</v>
      </c>
      <c r="I798" t="s">
        <v>612</v>
      </c>
      <c r="J798" t="s">
        <v>271</v>
      </c>
      <c r="K798" t="s">
        <v>272</v>
      </c>
      <c r="L798" t="s">
        <v>273</v>
      </c>
      <c r="M798">
        <v>899251</v>
      </c>
    </row>
    <row r="799" spans="1:14" ht="15">
      <c r="A799" s="4">
        <v>201404</v>
      </c>
      <c r="B799" t="s">
        <v>270</v>
      </c>
      <c r="C799" s="5">
        <v>6530142</v>
      </c>
      <c r="D799" s="2" t="s">
        <v>611</v>
      </c>
      <c r="E799" s="2" t="s">
        <v>15</v>
      </c>
      <c r="F799" s="3">
        <v>73.44</v>
      </c>
      <c r="G799" t="s">
        <v>57</v>
      </c>
      <c r="H799" s="1" t="s">
        <v>60</v>
      </c>
      <c r="I799" t="e">
        <f>-23471/SVI65967/1</f>
        <v>#NAME?</v>
      </c>
      <c r="J799" t="s">
        <v>271</v>
      </c>
      <c r="K799" t="s">
        <v>272</v>
      </c>
      <c r="L799" t="s">
        <v>273</v>
      </c>
      <c r="N799" t="s">
        <v>58</v>
      </c>
    </row>
    <row r="800" spans="1:12" ht="15">
      <c r="A800" s="4">
        <v>201404</v>
      </c>
      <c r="B800" t="s">
        <v>270</v>
      </c>
      <c r="C800" s="5">
        <v>6530142</v>
      </c>
      <c r="D800" s="2" t="s">
        <v>611</v>
      </c>
      <c r="E800" s="2" t="s">
        <v>15</v>
      </c>
      <c r="F800" s="3">
        <v>1224</v>
      </c>
      <c r="G800" t="s">
        <v>201</v>
      </c>
      <c r="H800" s="1" t="s">
        <v>60</v>
      </c>
      <c r="I800" t="e">
        <f>-MATERIAL FOR OUTAGE</f>
        <v>#NAME?</v>
      </c>
      <c r="J800" t="s">
        <v>271</v>
      </c>
      <c r="K800" t="s">
        <v>272</v>
      </c>
      <c r="L800" t="s">
        <v>273</v>
      </c>
    </row>
    <row r="801" spans="1:12" ht="15">
      <c r="A801" s="4">
        <v>201406</v>
      </c>
      <c r="B801" t="s">
        <v>270</v>
      </c>
      <c r="C801" s="5">
        <v>6530143</v>
      </c>
      <c r="D801" s="2" t="s">
        <v>614</v>
      </c>
      <c r="E801" s="2" t="s">
        <v>15</v>
      </c>
      <c r="F801" s="3">
        <v>-93.51</v>
      </c>
      <c r="H801" s="1" t="s">
        <v>330</v>
      </c>
      <c r="I801" t="s">
        <v>613</v>
      </c>
      <c r="J801" t="s">
        <v>271</v>
      </c>
      <c r="K801" t="s">
        <v>272</v>
      </c>
      <c r="L801" t="s">
        <v>273</v>
      </c>
    </row>
    <row r="802" spans="1:12" ht="15">
      <c r="A802" s="4">
        <v>201403</v>
      </c>
      <c r="B802" t="s">
        <v>270</v>
      </c>
      <c r="C802" s="5">
        <v>6530143</v>
      </c>
      <c r="D802" s="2" t="s">
        <v>614</v>
      </c>
      <c r="E802" s="2" t="s">
        <v>15</v>
      </c>
      <c r="F802" s="3">
        <v>5.5</v>
      </c>
      <c r="H802" s="1" t="s">
        <v>14</v>
      </c>
      <c r="I802" t="s">
        <v>377</v>
      </c>
      <c r="J802" t="s">
        <v>271</v>
      </c>
      <c r="K802" t="s">
        <v>272</v>
      </c>
      <c r="L802" t="s">
        <v>273</v>
      </c>
    </row>
    <row r="803" spans="1:12" ht="15">
      <c r="A803" s="4">
        <v>201403</v>
      </c>
      <c r="B803" t="s">
        <v>270</v>
      </c>
      <c r="C803" s="5">
        <v>6530143</v>
      </c>
      <c r="D803" s="2" t="s">
        <v>614</v>
      </c>
      <c r="E803" s="2" t="s">
        <v>15</v>
      </c>
      <c r="F803" s="3">
        <v>7.75</v>
      </c>
      <c r="H803" s="1" t="s">
        <v>14</v>
      </c>
      <c r="I803" t="s">
        <v>36</v>
      </c>
      <c r="J803" t="s">
        <v>271</v>
      </c>
      <c r="K803" t="s">
        <v>272</v>
      </c>
      <c r="L803" t="s">
        <v>273</v>
      </c>
    </row>
    <row r="804" spans="1:12" ht="15">
      <c r="A804" s="4">
        <v>201403</v>
      </c>
      <c r="B804" t="s">
        <v>270</v>
      </c>
      <c r="C804" s="5">
        <v>6530143</v>
      </c>
      <c r="D804" s="2" t="s">
        <v>614</v>
      </c>
      <c r="E804" s="2" t="s">
        <v>15</v>
      </c>
      <c r="F804" s="3">
        <v>14.5</v>
      </c>
      <c r="H804" s="1" t="s">
        <v>14</v>
      </c>
      <c r="I804" t="s">
        <v>335</v>
      </c>
      <c r="J804" t="s">
        <v>271</v>
      </c>
      <c r="K804" t="s">
        <v>272</v>
      </c>
      <c r="L804" t="s">
        <v>273</v>
      </c>
    </row>
    <row r="805" spans="1:12" ht="15">
      <c r="A805" s="4">
        <v>201403</v>
      </c>
      <c r="B805" t="s">
        <v>270</v>
      </c>
      <c r="C805" s="5">
        <v>6530143</v>
      </c>
      <c r="D805" s="2" t="s">
        <v>614</v>
      </c>
      <c r="E805" s="2" t="s">
        <v>15</v>
      </c>
      <c r="F805" s="3">
        <v>463.5</v>
      </c>
      <c r="H805" s="1" t="s">
        <v>14</v>
      </c>
      <c r="I805" t="s">
        <v>89</v>
      </c>
      <c r="J805" t="s">
        <v>271</v>
      </c>
      <c r="K805" t="s">
        <v>272</v>
      </c>
      <c r="L805" t="s">
        <v>273</v>
      </c>
    </row>
    <row r="806" spans="1:14" ht="15">
      <c r="A806" s="4">
        <v>201404</v>
      </c>
      <c r="B806" t="s">
        <v>270</v>
      </c>
      <c r="C806" s="5">
        <v>6530143</v>
      </c>
      <c r="D806" s="2" t="s">
        <v>614</v>
      </c>
      <c r="E806" s="2" t="s">
        <v>15</v>
      </c>
      <c r="F806" s="3">
        <v>7.48</v>
      </c>
      <c r="G806" t="s">
        <v>57</v>
      </c>
      <c r="H806" s="1" t="s">
        <v>60</v>
      </c>
      <c r="I806" t="e">
        <f>-16294/KY67758043/1</f>
        <v>#NAME?</v>
      </c>
      <c r="J806" t="s">
        <v>271</v>
      </c>
      <c r="K806" t="s">
        <v>272</v>
      </c>
      <c r="L806" t="s">
        <v>273</v>
      </c>
      <c r="N806" t="s">
        <v>58</v>
      </c>
    </row>
    <row r="807" spans="1:13" ht="15">
      <c r="A807" s="4">
        <v>201404</v>
      </c>
      <c r="B807" t="s">
        <v>270</v>
      </c>
      <c r="C807" s="5">
        <v>6530143</v>
      </c>
      <c r="D807" s="2" t="s">
        <v>614</v>
      </c>
      <c r="E807" s="2" t="s">
        <v>15</v>
      </c>
      <c r="F807" s="3">
        <v>123.43</v>
      </c>
      <c r="G807" t="s">
        <v>96</v>
      </c>
      <c r="H807" s="1" t="s">
        <v>60</v>
      </c>
      <c r="I807" t="s">
        <v>615</v>
      </c>
      <c r="J807" t="s">
        <v>271</v>
      </c>
      <c r="K807" t="s">
        <v>272</v>
      </c>
      <c r="L807" t="s">
        <v>273</v>
      </c>
      <c r="M807">
        <v>902211</v>
      </c>
    </row>
    <row r="808" spans="1:14" ht="15">
      <c r="A808" s="4">
        <v>201404</v>
      </c>
      <c r="B808" t="s">
        <v>270</v>
      </c>
      <c r="C808" s="5">
        <v>6530143</v>
      </c>
      <c r="D808" s="2" t="s">
        <v>614</v>
      </c>
      <c r="E808" s="2" t="s">
        <v>15</v>
      </c>
      <c r="F808" s="3">
        <v>0.92</v>
      </c>
      <c r="G808" t="s">
        <v>57</v>
      </c>
      <c r="H808" s="1" t="s">
        <v>69</v>
      </c>
      <c r="I808" t="e">
        <f>-16294/KY67758043/1</f>
        <v>#NAME?</v>
      </c>
      <c r="J808" t="s">
        <v>271</v>
      </c>
      <c r="K808" t="s">
        <v>272</v>
      </c>
      <c r="L808" t="s">
        <v>273</v>
      </c>
      <c r="N808" t="s">
        <v>58</v>
      </c>
    </row>
    <row r="809" spans="1:12" ht="15">
      <c r="A809" s="4">
        <v>201404</v>
      </c>
      <c r="B809" t="s">
        <v>270</v>
      </c>
      <c r="C809" s="5">
        <v>6530143</v>
      </c>
      <c r="D809" s="2" t="s">
        <v>614</v>
      </c>
      <c r="E809" s="2" t="s">
        <v>15</v>
      </c>
      <c r="F809" s="3">
        <v>15.4</v>
      </c>
      <c r="G809" t="s">
        <v>96</v>
      </c>
      <c r="H809" s="1" t="s">
        <v>69</v>
      </c>
      <c r="I809" t="e">
        <f>-freight</f>
        <v>#NAME?</v>
      </c>
      <c r="J809" t="s">
        <v>271</v>
      </c>
      <c r="K809" t="s">
        <v>272</v>
      </c>
      <c r="L809" t="s">
        <v>273</v>
      </c>
    </row>
    <row r="810" spans="1:12" ht="15">
      <c r="A810" s="4">
        <v>201404</v>
      </c>
      <c r="B810" t="s">
        <v>270</v>
      </c>
      <c r="C810" s="5">
        <v>6530147</v>
      </c>
      <c r="D810" s="2" t="s">
        <v>616</v>
      </c>
      <c r="E810" s="2" t="s">
        <v>15</v>
      </c>
      <c r="F810" s="3">
        <v>0</v>
      </c>
      <c r="H810" s="1" t="s">
        <v>68</v>
      </c>
      <c r="J810" t="s">
        <v>271</v>
      </c>
      <c r="K810" t="s">
        <v>272</v>
      </c>
      <c r="L810" t="s">
        <v>273</v>
      </c>
    </row>
    <row r="811" spans="1:12" ht="15">
      <c r="A811" s="4">
        <v>201404</v>
      </c>
      <c r="B811" t="s">
        <v>270</v>
      </c>
      <c r="C811" s="5">
        <v>6530147</v>
      </c>
      <c r="D811" s="2" t="s">
        <v>616</v>
      </c>
      <c r="E811" s="2" t="s">
        <v>15</v>
      </c>
      <c r="F811" s="3">
        <v>6</v>
      </c>
      <c r="H811" s="1" t="s">
        <v>68</v>
      </c>
      <c r="J811" t="s">
        <v>271</v>
      </c>
      <c r="K811" t="s">
        <v>272</v>
      </c>
      <c r="L811" t="s">
        <v>273</v>
      </c>
    </row>
    <row r="812" spans="1:12" ht="15">
      <c r="A812" s="4">
        <v>201403</v>
      </c>
      <c r="B812" t="s">
        <v>270</v>
      </c>
      <c r="C812" s="5">
        <v>6530148</v>
      </c>
      <c r="D812" s="2" t="s">
        <v>617</v>
      </c>
      <c r="E812" s="2" t="s">
        <v>15</v>
      </c>
      <c r="F812" s="3">
        <v>141.76</v>
      </c>
      <c r="H812" s="1" t="s">
        <v>14</v>
      </c>
      <c r="I812" t="s">
        <v>106</v>
      </c>
      <c r="J812" t="s">
        <v>271</v>
      </c>
      <c r="K812" t="s">
        <v>272</v>
      </c>
      <c r="L812" t="s">
        <v>273</v>
      </c>
    </row>
    <row r="813" spans="1:12" ht="15">
      <c r="A813" s="4">
        <v>201403</v>
      </c>
      <c r="B813" t="s">
        <v>270</v>
      </c>
      <c r="C813" s="5">
        <v>6530148</v>
      </c>
      <c r="D813" s="2" t="s">
        <v>617</v>
      </c>
      <c r="E813" s="2" t="s">
        <v>15</v>
      </c>
      <c r="F813" s="3">
        <v>155.42</v>
      </c>
      <c r="H813" s="1" t="s">
        <v>14</v>
      </c>
      <c r="I813" t="s">
        <v>162</v>
      </c>
      <c r="J813" t="s">
        <v>271</v>
      </c>
      <c r="K813" t="s">
        <v>272</v>
      </c>
      <c r="L813" t="s">
        <v>273</v>
      </c>
    </row>
    <row r="814" spans="1:14" ht="15">
      <c r="A814" s="4">
        <v>201404</v>
      </c>
      <c r="B814" t="s">
        <v>270</v>
      </c>
      <c r="C814" s="5">
        <v>6530148</v>
      </c>
      <c r="D814" s="2" t="s">
        <v>617</v>
      </c>
      <c r="E814" s="2" t="s">
        <v>15</v>
      </c>
      <c r="F814" s="3">
        <v>36</v>
      </c>
      <c r="G814" t="s">
        <v>57</v>
      </c>
      <c r="H814" s="1" t="s">
        <v>60</v>
      </c>
      <c r="I814">
        <f>-59731/9687/1</f>
        <v>-6.1660988954268605</v>
      </c>
      <c r="J814" t="s">
        <v>271</v>
      </c>
      <c r="K814" t="s">
        <v>272</v>
      </c>
      <c r="L814" t="s">
        <v>273</v>
      </c>
      <c r="N814" t="s">
        <v>58</v>
      </c>
    </row>
    <row r="815" spans="1:13" ht="15">
      <c r="A815" s="4">
        <v>201404</v>
      </c>
      <c r="B815" t="s">
        <v>270</v>
      </c>
      <c r="C815" s="5">
        <v>6530148</v>
      </c>
      <c r="D815" s="2" t="s">
        <v>617</v>
      </c>
      <c r="E815" s="2" t="s">
        <v>15</v>
      </c>
      <c r="F815" s="3">
        <v>600</v>
      </c>
      <c r="G815" t="s">
        <v>177</v>
      </c>
      <c r="H815" s="1" t="s">
        <v>60</v>
      </c>
      <c r="I815" t="s">
        <v>618</v>
      </c>
      <c r="J815" t="s">
        <v>271</v>
      </c>
      <c r="K815" t="s">
        <v>272</v>
      </c>
      <c r="L815" t="s">
        <v>273</v>
      </c>
      <c r="M815">
        <v>902039</v>
      </c>
    </row>
    <row r="816" spans="1:12" ht="15">
      <c r="A816" s="4">
        <v>201403</v>
      </c>
      <c r="B816" t="s">
        <v>270</v>
      </c>
      <c r="C816" s="5">
        <v>6530150</v>
      </c>
      <c r="D816" s="2" t="s">
        <v>620</v>
      </c>
      <c r="E816" s="2" t="s">
        <v>15</v>
      </c>
      <c r="F816" s="3">
        <v>7.36</v>
      </c>
      <c r="H816" s="1" t="s">
        <v>14</v>
      </c>
      <c r="I816" t="s">
        <v>619</v>
      </c>
      <c r="J816" t="s">
        <v>271</v>
      </c>
      <c r="K816" t="s">
        <v>272</v>
      </c>
      <c r="L816" t="s">
        <v>273</v>
      </c>
    </row>
    <row r="817" spans="1:12" ht="15">
      <c r="A817" s="4">
        <v>201403</v>
      </c>
      <c r="B817" t="s">
        <v>270</v>
      </c>
      <c r="C817" s="5">
        <v>6530150</v>
      </c>
      <c r="D817" s="2" t="s">
        <v>620</v>
      </c>
      <c r="E817" s="2" t="s">
        <v>15</v>
      </c>
      <c r="F817" s="3">
        <v>24.46</v>
      </c>
      <c r="H817" s="1" t="s">
        <v>14</v>
      </c>
      <c r="I817" t="s">
        <v>621</v>
      </c>
      <c r="J817" t="s">
        <v>271</v>
      </c>
      <c r="K817" t="s">
        <v>272</v>
      </c>
      <c r="L817" t="s">
        <v>273</v>
      </c>
    </row>
    <row r="818" spans="1:13" ht="15">
      <c r="A818" s="4">
        <v>201404</v>
      </c>
      <c r="B818" t="s">
        <v>270</v>
      </c>
      <c r="C818" s="5">
        <v>6530150</v>
      </c>
      <c r="D818" s="2" t="s">
        <v>620</v>
      </c>
      <c r="E818" s="2" t="s">
        <v>15</v>
      </c>
      <c r="F818" s="3">
        <v>81.24</v>
      </c>
      <c r="G818" t="s">
        <v>119</v>
      </c>
      <c r="H818" s="1" t="s">
        <v>46</v>
      </c>
      <c r="I818" t="s">
        <v>622</v>
      </c>
      <c r="J818" t="s">
        <v>271</v>
      </c>
      <c r="K818" t="s">
        <v>272</v>
      </c>
      <c r="L818" t="s">
        <v>273</v>
      </c>
      <c r="M818">
        <v>903807</v>
      </c>
    </row>
    <row r="819" spans="1:13" ht="15">
      <c r="A819" s="4">
        <v>201403</v>
      </c>
      <c r="B819" t="s">
        <v>270</v>
      </c>
      <c r="C819" s="5">
        <v>6530150</v>
      </c>
      <c r="D819" s="2" t="s">
        <v>620</v>
      </c>
      <c r="E819" s="2" t="s">
        <v>15</v>
      </c>
      <c r="F819" s="3">
        <v>975.64</v>
      </c>
      <c r="G819" t="s">
        <v>62</v>
      </c>
      <c r="H819" s="1" t="s">
        <v>60</v>
      </c>
      <c r="I819" t="s">
        <v>623</v>
      </c>
      <c r="J819" t="s">
        <v>271</v>
      </c>
      <c r="K819" t="s">
        <v>272</v>
      </c>
      <c r="L819" t="s">
        <v>273</v>
      </c>
      <c r="M819">
        <v>902038</v>
      </c>
    </row>
    <row r="820" spans="1:12" ht="15">
      <c r="A820" s="4">
        <v>201403</v>
      </c>
      <c r="B820" t="s">
        <v>270</v>
      </c>
      <c r="C820" s="5">
        <v>6530150</v>
      </c>
      <c r="D820" s="2" t="s">
        <v>620</v>
      </c>
      <c r="E820" s="2" t="s">
        <v>15</v>
      </c>
      <c r="F820" s="3">
        <v>0.59</v>
      </c>
      <c r="H820" s="1" t="s">
        <v>66</v>
      </c>
      <c r="I820" t="s">
        <v>67</v>
      </c>
      <c r="J820" t="s">
        <v>271</v>
      </c>
      <c r="K820" t="s">
        <v>272</v>
      </c>
      <c r="L820" t="s">
        <v>273</v>
      </c>
    </row>
    <row r="821" spans="1:14" ht="15">
      <c r="A821" s="4">
        <v>201403</v>
      </c>
      <c r="B821" t="s">
        <v>270</v>
      </c>
      <c r="C821" s="5">
        <v>6530150</v>
      </c>
      <c r="D821" s="2" t="s">
        <v>620</v>
      </c>
      <c r="E821" s="2" t="s">
        <v>15</v>
      </c>
      <c r="F821" s="3">
        <v>0.98</v>
      </c>
      <c r="G821" t="s">
        <v>57</v>
      </c>
      <c r="H821" s="1" t="s">
        <v>69</v>
      </c>
      <c r="I821">
        <f>-14149/456906/1</f>
        <v>-0.030966982267687446</v>
      </c>
      <c r="J821" t="s">
        <v>271</v>
      </c>
      <c r="K821" t="s">
        <v>272</v>
      </c>
      <c r="L821" t="s">
        <v>273</v>
      </c>
      <c r="N821" t="s">
        <v>58</v>
      </c>
    </row>
    <row r="822" spans="1:12" ht="15">
      <c r="A822" s="4">
        <v>201403</v>
      </c>
      <c r="B822" t="s">
        <v>270</v>
      </c>
      <c r="C822" s="5">
        <v>6530150</v>
      </c>
      <c r="D822" s="2" t="s">
        <v>620</v>
      </c>
      <c r="E822" s="2" t="s">
        <v>15</v>
      </c>
      <c r="F822" s="3">
        <v>16.29</v>
      </c>
      <c r="G822" t="s">
        <v>62</v>
      </c>
      <c r="H822" s="1" t="s">
        <v>69</v>
      </c>
      <c r="I822" t="e">
        <f>-freight</f>
        <v>#NAME?</v>
      </c>
      <c r="J822" t="s">
        <v>271</v>
      </c>
      <c r="K822" t="s">
        <v>272</v>
      </c>
      <c r="L822" t="s">
        <v>273</v>
      </c>
    </row>
    <row r="823" spans="1:12" ht="15">
      <c r="A823" s="4">
        <v>201403</v>
      </c>
      <c r="B823" t="s">
        <v>270</v>
      </c>
      <c r="C823" s="5">
        <v>6530154</v>
      </c>
      <c r="D823" s="2" t="s">
        <v>624</v>
      </c>
      <c r="E823" s="2" t="s">
        <v>15</v>
      </c>
      <c r="F823" s="3">
        <v>3.51</v>
      </c>
      <c r="H823" s="1" t="s">
        <v>14</v>
      </c>
      <c r="I823" t="s">
        <v>363</v>
      </c>
      <c r="J823" t="s">
        <v>271</v>
      </c>
      <c r="K823" t="s">
        <v>272</v>
      </c>
      <c r="L823" t="s">
        <v>273</v>
      </c>
    </row>
    <row r="824" spans="1:12" ht="15">
      <c r="A824" s="4">
        <v>201403</v>
      </c>
      <c r="B824" t="s">
        <v>270</v>
      </c>
      <c r="C824" s="5">
        <v>6530154</v>
      </c>
      <c r="D824" s="2" t="s">
        <v>624</v>
      </c>
      <c r="E824" s="2" t="s">
        <v>15</v>
      </c>
      <c r="F824" s="3">
        <v>3.51</v>
      </c>
      <c r="H824" s="1" t="s">
        <v>14</v>
      </c>
      <c r="I824" t="s">
        <v>625</v>
      </c>
      <c r="J824" t="s">
        <v>271</v>
      </c>
      <c r="K824" t="s">
        <v>272</v>
      </c>
      <c r="L824" t="s">
        <v>273</v>
      </c>
    </row>
    <row r="825" spans="1:12" ht="15">
      <c r="A825" s="4">
        <v>201403</v>
      </c>
      <c r="B825" t="s">
        <v>270</v>
      </c>
      <c r="C825" s="5">
        <v>6530154</v>
      </c>
      <c r="D825" s="2" t="s">
        <v>624</v>
      </c>
      <c r="E825" s="2" t="s">
        <v>15</v>
      </c>
      <c r="F825" s="3">
        <v>4.93</v>
      </c>
      <c r="H825" s="1" t="s">
        <v>14</v>
      </c>
      <c r="I825" t="s">
        <v>626</v>
      </c>
      <c r="J825" t="s">
        <v>271</v>
      </c>
      <c r="K825" t="s">
        <v>272</v>
      </c>
      <c r="L825" t="s">
        <v>273</v>
      </c>
    </row>
    <row r="826" spans="1:12" ht="15">
      <c r="A826" s="4">
        <v>201403</v>
      </c>
      <c r="B826" t="s">
        <v>270</v>
      </c>
      <c r="C826" s="5">
        <v>6530154</v>
      </c>
      <c r="D826" s="2" t="s">
        <v>624</v>
      </c>
      <c r="E826" s="2" t="s">
        <v>15</v>
      </c>
      <c r="F826" s="3">
        <v>5</v>
      </c>
      <c r="H826" s="1" t="s">
        <v>14</v>
      </c>
      <c r="I826" t="s">
        <v>336</v>
      </c>
      <c r="J826" t="s">
        <v>271</v>
      </c>
      <c r="K826" t="s">
        <v>272</v>
      </c>
      <c r="L826" t="s">
        <v>273</v>
      </c>
    </row>
    <row r="827" spans="1:12" ht="15">
      <c r="A827" s="4">
        <v>201403</v>
      </c>
      <c r="B827" t="s">
        <v>270</v>
      </c>
      <c r="C827" s="5">
        <v>6530154</v>
      </c>
      <c r="D827" s="2" t="s">
        <v>624</v>
      </c>
      <c r="E827" s="2" t="s">
        <v>15</v>
      </c>
      <c r="F827" s="3">
        <v>10.22</v>
      </c>
      <c r="H827" s="1" t="s">
        <v>14</v>
      </c>
      <c r="I827" t="s">
        <v>383</v>
      </c>
      <c r="J827" t="s">
        <v>271</v>
      </c>
      <c r="K827" t="s">
        <v>272</v>
      </c>
      <c r="L827" t="s">
        <v>273</v>
      </c>
    </row>
    <row r="828" spans="1:12" ht="15">
      <c r="A828" s="4">
        <v>201403</v>
      </c>
      <c r="B828" t="s">
        <v>270</v>
      </c>
      <c r="C828" s="5">
        <v>6530154</v>
      </c>
      <c r="D828" s="2" t="s">
        <v>624</v>
      </c>
      <c r="E828" s="2" t="s">
        <v>15</v>
      </c>
      <c r="F828" s="3">
        <v>11.47</v>
      </c>
      <c r="H828" s="1" t="s">
        <v>14</v>
      </c>
      <c r="I828" t="s">
        <v>627</v>
      </c>
      <c r="J828" t="s">
        <v>271</v>
      </c>
      <c r="K828" t="s">
        <v>272</v>
      </c>
      <c r="L828" t="s">
        <v>273</v>
      </c>
    </row>
    <row r="829" spans="1:12" ht="15">
      <c r="A829" s="4">
        <v>201403</v>
      </c>
      <c r="B829" t="s">
        <v>270</v>
      </c>
      <c r="C829" s="5">
        <v>6530154</v>
      </c>
      <c r="D829" s="2" t="s">
        <v>624</v>
      </c>
      <c r="E829" s="2" t="s">
        <v>15</v>
      </c>
      <c r="F829" s="3">
        <v>12.69</v>
      </c>
      <c r="H829" s="1" t="s">
        <v>14</v>
      </c>
      <c r="I829" t="s">
        <v>628</v>
      </c>
      <c r="J829" t="s">
        <v>271</v>
      </c>
      <c r="K829" t="s">
        <v>272</v>
      </c>
      <c r="L829" t="s">
        <v>273</v>
      </c>
    </row>
    <row r="830" spans="1:12" ht="15">
      <c r="A830" s="4">
        <v>201403</v>
      </c>
      <c r="B830" t="s">
        <v>270</v>
      </c>
      <c r="C830" s="5">
        <v>6530154</v>
      </c>
      <c r="D830" s="2" t="s">
        <v>624</v>
      </c>
      <c r="E830" s="2" t="s">
        <v>15</v>
      </c>
      <c r="F830" s="3">
        <v>15.46</v>
      </c>
      <c r="H830" s="1" t="s">
        <v>14</v>
      </c>
      <c r="I830" t="s">
        <v>35</v>
      </c>
      <c r="J830" t="s">
        <v>271</v>
      </c>
      <c r="K830" t="s">
        <v>272</v>
      </c>
      <c r="L830" t="s">
        <v>273</v>
      </c>
    </row>
    <row r="831" spans="1:12" ht="15">
      <c r="A831" s="4">
        <v>201403</v>
      </c>
      <c r="B831" t="s">
        <v>270</v>
      </c>
      <c r="C831" s="5">
        <v>6530154</v>
      </c>
      <c r="D831" s="2" t="s">
        <v>624</v>
      </c>
      <c r="E831" s="2" t="s">
        <v>15</v>
      </c>
      <c r="F831" s="3">
        <v>51.5</v>
      </c>
      <c r="H831" s="1" t="s">
        <v>14</v>
      </c>
      <c r="I831" t="s">
        <v>89</v>
      </c>
      <c r="J831" t="s">
        <v>271</v>
      </c>
      <c r="K831" t="s">
        <v>272</v>
      </c>
      <c r="L831" t="s">
        <v>273</v>
      </c>
    </row>
    <row r="832" spans="1:12" ht="15">
      <c r="A832" s="4">
        <v>201403</v>
      </c>
      <c r="B832" t="s">
        <v>270</v>
      </c>
      <c r="C832" s="5">
        <v>6530154</v>
      </c>
      <c r="D832" s="2" t="s">
        <v>624</v>
      </c>
      <c r="E832" s="2" t="s">
        <v>15</v>
      </c>
      <c r="F832" s="3">
        <v>68.43</v>
      </c>
      <c r="H832" s="1" t="s">
        <v>14</v>
      </c>
      <c r="I832" t="s">
        <v>263</v>
      </c>
      <c r="J832" t="s">
        <v>271</v>
      </c>
      <c r="K832" t="s">
        <v>272</v>
      </c>
      <c r="L832" t="s">
        <v>273</v>
      </c>
    </row>
    <row r="833" spans="1:12" ht="15">
      <c r="A833" s="4">
        <v>201403</v>
      </c>
      <c r="B833" t="s">
        <v>270</v>
      </c>
      <c r="C833" s="5">
        <v>6530154</v>
      </c>
      <c r="D833" s="2" t="s">
        <v>624</v>
      </c>
      <c r="E833" s="2" t="s">
        <v>15</v>
      </c>
      <c r="F833" s="3">
        <v>194.92</v>
      </c>
      <c r="H833" s="1" t="s">
        <v>14</v>
      </c>
      <c r="I833" t="s">
        <v>106</v>
      </c>
      <c r="J833" t="s">
        <v>271</v>
      </c>
      <c r="K833" t="s">
        <v>272</v>
      </c>
      <c r="L833" t="s">
        <v>273</v>
      </c>
    </row>
    <row r="834" spans="1:12" ht="15">
      <c r="A834" s="4">
        <v>201403</v>
      </c>
      <c r="B834" t="s">
        <v>270</v>
      </c>
      <c r="C834" s="5">
        <v>6530156</v>
      </c>
      <c r="D834" s="2" t="s">
        <v>629</v>
      </c>
      <c r="E834" s="2" t="s">
        <v>15</v>
      </c>
      <c r="F834" s="3">
        <v>7.45</v>
      </c>
      <c r="H834" s="1" t="s">
        <v>14</v>
      </c>
      <c r="I834" t="s">
        <v>380</v>
      </c>
      <c r="J834" t="s">
        <v>271</v>
      </c>
      <c r="K834" t="s">
        <v>272</v>
      </c>
      <c r="L834" t="s">
        <v>273</v>
      </c>
    </row>
    <row r="835" spans="1:12" ht="15">
      <c r="A835" s="4">
        <v>201404</v>
      </c>
      <c r="B835" t="s">
        <v>270</v>
      </c>
      <c r="C835" s="5">
        <v>6530156</v>
      </c>
      <c r="D835" s="2" t="s">
        <v>629</v>
      </c>
      <c r="E835" s="2" t="s">
        <v>15</v>
      </c>
      <c r="F835" s="3">
        <v>0</v>
      </c>
      <c r="H835" s="1" t="s">
        <v>68</v>
      </c>
      <c r="J835" t="s">
        <v>271</v>
      </c>
      <c r="K835" t="s">
        <v>272</v>
      </c>
      <c r="L835" t="s">
        <v>273</v>
      </c>
    </row>
    <row r="836" spans="1:12" ht="15">
      <c r="A836" s="4">
        <v>201404</v>
      </c>
      <c r="B836" t="s">
        <v>270</v>
      </c>
      <c r="C836" s="5">
        <v>6530156</v>
      </c>
      <c r="D836" s="2" t="s">
        <v>629</v>
      </c>
      <c r="E836" s="2" t="s">
        <v>15</v>
      </c>
      <c r="F836" s="3">
        <v>6</v>
      </c>
      <c r="H836" s="1" t="s">
        <v>68</v>
      </c>
      <c r="J836" t="s">
        <v>271</v>
      </c>
      <c r="K836" t="s">
        <v>272</v>
      </c>
      <c r="L836" t="s">
        <v>273</v>
      </c>
    </row>
    <row r="837" spans="1:12" ht="15">
      <c r="A837" s="4">
        <v>201404</v>
      </c>
      <c r="B837" t="s">
        <v>270</v>
      </c>
      <c r="C837" s="5">
        <v>6530158</v>
      </c>
      <c r="D837" s="2" t="s">
        <v>631</v>
      </c>
      <c r="E837" s="2" t="s">
        <v>15</v>
      </c>
      <c r="F837" s="3">
        <v>4.7</v>
      </c>
      <c r="H837" s="1" t="s">
        <v>14</v>
      </c>
      <c r="I837" t="s">
        <v>630</v>
      </c>
      <c r="J837" t="s">
        <v>271</v>
      </c>
      <c r="K837" t="s">
        <v>272</v>
      </c>
      <c r="L837" t="s">
        <v>273</v>
      </c>
    </row>
    <row r="838" spans="1:12" ht="15">
      <c r="A838" s="4">
        <v>201404</v>
      </c>
      <c r="B838" t="s">
        <v>270</v>
      </c>
      <c r="C838" s="5">
        <v>6530158</v>
      </c>
      <c r="D838" s="2" t="s">
        <v>631</v>
      </c>
      <c r="E838" s="2" t="s">
        <v>15</v>
      </c>
      <c r="F838" s="3">
        <v>22.99</v>
      </c>
      <c r="H838" s="1" t="s">
        <v>14</v>
      </c>
      <c r="I838" t="s">
        <v>520</v>
      </c>
      <c r="J838" t="s">
        <v>271</v>
      </c>
      <c r="K838" t="s">
        <v>272</v>
      </c>
      <c r="L838" t="s">
        <v>273</v>
      </c>
    </row>
    <row r="839" spans="1:12" ht="15">
      <c r="A839" s="4">
        <v>201404</v>
      </c>
      <c r="B839" t="s">
        <v>270</v>
      </c>
      <c r="C839" s="5">
        <v>6530158</v>
      </c>
      <c r="D839" s="2" t="s">
        <v>631</v>
      </c>
      <c r="E839" s="2" t="s">
        <v>15</v>
      </c>
      <c r="F839" s="3">
        <v>26.96</v>
      </c>
      <c r="H839" s="1" t="s">
        <v>14</v>
      </c>
      <c r="I839" t="s">
        <v>263</v>
      </c>
      <c r="J839" t="s">
        <v>271</v>
      </c>
      <c r="K839" t="s">
        <v>272</v>
      </c>
      <c r="L839" t="s">
        <v>273</v>
      </c>
    </row>
    <row r="840" spans="1:12" ht="15">
      <c r="A840" s="4">
        <v>201404</v>
      </c>
      <c r="B840" t="s">
        <v>270</v>
      </c>
      <c r="C840" s="5">
        <v>6530158</v>
      </c>
      <c r="D840" s="2" t="s">
        <v>631</v>
      </c>
      <c r="E840" s="2" t="s">
        <v>15</v>
      </c>
      <c r="F840" s="3">
        <v>27</v>
      </c>
      <c r="H840" s="1" t="s">
        <v>14</v>
      </c>
      <c r="I840" t="s">
        <v>90</v>
      </c>
      <c r="J840" t="s">
        <v>271</v>
      </c>
      <c r="K840" t="s">
        <v>272</v>
      </c>
      <c r="L840" t="s">
        <v>273</v>
      </c>
    </row>
    <row r="841" spans="1:12" ht="15">
      <c r="A841" s="4">
        <v>201404</v>
      </c>
      <c r="B841" t="s">
        <v>270</v>
      </c>
      <c r="C841" s="5">
        <v>6530158</v>
      </c>
      <c r="D841" s="2" t="s">
        <v>631</v>
      </c>
      <c r="E841" s="2" t="s">
        <v>15</v>
      </c>
      <c r="F841" s="3">
        <v>71.08</v>
      </c>
      <c r="H841" s="1" t="s">
        <v>14</v>
      </c>
      <c r="I841" t="s">
        <v>106</v>
      </c>
      <c r="J841" t="s">
        <v>271</v>
      </c>
      <c r="K841" t="s">
        <v>272</v>
      </c>
      <c r="L841" t="s">
        <v>273</v>
      </c>
    </row>
    <row r="842" spans="1:12" ht="15">
      <c r="A842" s="4">
        <v>201403</v>
      </c>
      <c r="B842" t="s">
        <v>270</v>
      </c>
      <c r="C842" s="5">
        <v>6530160</v>
      </c>
      <c r="D842" s="2" t="s">
        <v>633</v>
      </c>
      <c r="E842" s="2" t="s">
        <v>15</v>
      </c>
      <c r="F842" s="3">
        <v>0.58</v>
      </c>
      <c r="H842" s="1" t="s">
        <v>14</v>
      </c>
      <c r="I842" t="s">
        <v>632</v>
      </c>
      <c r="J842" t="s">
        <v>271</v>
      </c>
      <c r="K842" t="s">
        <v>272</v>
      </c>
      <c r="L842" t="s">
        <v>273</v>
      </c>
    </row>
    <row r="843" spans="1:12" ht="15">
      <c r="A843" s="4">
        <v>201403</v>
      </c>
      <c r="B843" t="s">
        <v>270</v>
      </c>
      <c r="C843" s="5">
        <v>6530160</v>
      </c>
      <c r="D843" s="2" t="s">
        <v>633</v>
      </c>
      <c r="E843" s="2" t="s">
        <v>15</v>
      </c>
      <c r="F843" s="3">
        <v>1.46</v>
      </c>
      <c r="H843" s="1" t="s">
        <v>14</v>
      </c>
      <c r="I843" t="s">
        <v>634</v>
      </c>
      <c r="J843" t="s">
        <v>271</v>
      </c>
      <c r="K843" t="s">
        <v>272</v>
      </c>
      <c r="L843" t="s">
        <v>273</v>
      </c>
    </row>
    <row r="844" spans="1:12" ht="15">
      <c r="A844" s="4">
        <v>201403</v>
      </c>
      <c r="B844" t="s">
        <v>270</v>
      </c>
      <c r="C844" s="5">
        <v>6530160</v>
      </c>
      <c r="D844" s="2" t="s">
        <v>633</v>
      </c>
      <c r="E844" s="2" t="s">
        <v>15</v>
      </c>
      <c r="F844" s="3">
        <v>9.4</v>
      </c>
      <c r="H844" s="1" t="s">
        <v>14</v>
      </c>
      <c r="I844" t="s">
        <v>287</v>
      </c>
      <c r="J844" t="s">
        <v>271</v>
      </c>
      <c r="K844" t="s">
        <v>272</v>
      </c>
      <c r="L844" t="s">
        <v>273</v>
      </c>
    </row>
    <row r="845" spans="1:12" ht="15">
      <c r="A845" s="4">
        <v>201403</v>
      </c>
      <c r="B845" t="s">
        <v>270</v>
      </c>
      <c r="C845" s="5">
        <v>6530160</v>
      </c>
      <c r="D845" s="2" t="s">
        <v>633</v>
      </c>
      <c r="E845" s="2" t="s">
        <v>15</v>
      </c>
      <c r="F845" s="3">
        <v>9.46</v>
      </c>
      <c r="H845" s="1" t="s">
        <v>14</v>
      </c>
      <c r="I845" t="s">
        <v>116</v>
      </c>
      <c r="J845" t="s">
        <v>271</v>
      </c>
      <c r="K845" t="s">
        <v>272</v>
      </c>
      <c r="L845" t="s">
        <v>273</v>
      </c>
    </row>
    <row r="846" spans="1:12" ht="15">
      <c r="A846" s="4">
        <v>201403</v>
      </c>
      <c r="B846" t="s">
        <v>270</v>
      </c>
      <c r="C846" s="5">
        <v>6530160</v>
      </c>
      <c r="D846" s="2" t="s">
        <v>633</v>
      </c>
      <c r="E846" s="2" t="s">
        <v>15</v>
      </c>
      <c r="F846" s="3">
        <v>35.44</v>
      </c>
      <c r="H846" s="1" t="s">
        <v>14</v>
      </c>
      <c r="I846" t="s">
        <v>106</v>
      </c>
      <c r="J846" t="s">
        <v>271</v>
      </c>
      <c r="K846" t="s">
        <v>272</v>
      </c>
      <c r="L846" t="s">
        <v>273</v>
      </c>
    </row>
    <row r="847" spans="1:14" ht="15">
      <c r="A847" s="4">
        <v>201403</v>
      </c>
      <c r="B847" t="s">
        <v>270</v>
      </c>
      <c r="C847" s="5">
        <v>6530160</v>
      </c>
      <c r="D847" s="2" t="s">
        <v>633</v>
      </c>
      <c r="E847" s="2" t="s">
        <v>15</v>
      </c>
      <c r="F847" s="3">
        <v>113.4</v>
      </c>
      <c r="G847" t="s">
        <v>57</v>
      </c>
      <c r="H847" s="1" t="s">
        <v>60</v>
      </c>
      <c r="I847">
        <f>-22643/12398/1</f>
        <v>-1.8263429585417004</v>
      </c>
      <c r="J847" t="s">
        <v>271</v>
      </c>
      <c r="K847" t="s">
        <v>272</v>
      </c>
      <c r="L847" t="s">
        <v>273</v>
      </c>
      <c r="N847" t="s">
        <v>58</v>
      </c>
    </row>
    <row r="848" spans="1:13" ht="15">
      <c r="A848" s="4">
        <v>201403</v>
      </c>
      <c r="B848" t="s">
        <v>270</v>
      </c>
      <c r="C848" s="5">
        <v>6530160</v>
      </c>
      <c r="D848" s="2" t="s">
        <v>633</v>
      </c>
      <c r="E848" s="2" t="s">
        <v>15</v>
      </c>
      <c r="F848" s="3">
        <v>910</v>
      </c>
      <c r="G848" t="s">
        <v>635</v>
      </c>
      <c r="H848" s="1" t="s">
        <v>60</v>
      </c>
      <c r="I848" t="s">
        <v>636</v>
      </c>
      <c r="J848" t="s">
        <v>271</v>
      </c>
      <c r="K848" t="s">
        <v>272</v>
      </c>
      <c r="L848" t="s">
        <v>273</v>
      </c>
      <c r="M848">
        <v>901132</v>
      </c>
    </row>
    <row r="849" spans="1:13" ht="15">
      <c r="A849" s="4">
        <v>201403</v>
      </c>
      <c r="B849" t="s">
        <v>270</v>
      </c>
      <c r="C849" s="5">
        <v>6530160</v>
      </c>
      <c r="D849" s="2" t="s">
        <v>633</v>
      </c>
      <c r="E849" s="2" t="s">
        <v>15</v>
      </c>
      <c r="F849" s="3">
        <v>980</v>
      </c>
      <c r="G849" t="s">
        <v>635</v>
      </c>
      <c r="H849" s="1" t="s">
        <v>60</v>
      </c>
      <c r="I849" t="s">
        <v>637</v>
      </c>
      <c r="J849" t="s">
        <v>271</v>
      </c>
      <c r="K849" t="s">
        <v>272</v>
      </c>
      <c r="L849" t="s">
        <v>273</v>
      </c>
      <c r="M849">
        <v>901132</v>
      </c>
    </row>
    <row r="850" spans="1:12" ht="15">
      <c r="A850" s="4">
        <v>201404</v>
      </c>
      <c r="B850" t="s">
        <v>270</v>
      </c>
      <c r="C850" s="5">
        <v>6530161</v>
      </c>
      <c r="D850" s="2" t="s">
        <v>638</v>
      </c>
      <c r="E850" s="2" t="s">
        <v>15</v>
      </c>
      <c r="F850" s="3">
        <v>71.08</v>
      </c>
      <c r="H850" s="1" t="s">
        <v>14</v>
      </c>
      <c r="I850" t="s">
        <v>106</v>
      </c>
      <c r="J850" t="s">
        <v>271</v>
      </c>
      <c r="K850" t="s">
        <v>272</v>
      </c>
      <c r="L850" t="s">
        <v>273</v>
      </c>
    </row>
    <row r="851" spans="1:12" ht="15">
      <c r="A851" s="4">
        <v>201404</v>
      </c>
      <c r="B851" t="s">
        <v>270</v>
      </c>
      <c r="C851" s="5">
        <v>6530161</v>
      </c>
      <c r="D851" s="2" t="s">
        <v>638</v>
      </c>
      <c r="E851" s="2" t="s">
        <v>15</v>
      </c>
      <c r="F851" s="3">
        <v>0</v>
      </c>
      <c r="H851" s="1" t="s">
        <v>68</v>
      </c>
      <c r="J851" t="s">
        <v>271</v>
      </c>
      <c r="K851" t="s">
        <v>272</v>
      </c>
      <c r="L851" t="s">
        <v>273</v>
      </c>
    </row>
    <row r="852" spans="1:12" ht="15">
      <c r="A852" s="4">
        <v>201404</v>
      </c>
      <c r="B852" t="s">
        <v>270</v>
      </c>
      <c r="C852" s="5">
        <v>6530161</v>
      </c>
      <c r="D852" s="2" t="s">
        <v>638</v>
      </c>
      <c r="E852" s="2" t="s">
        <v>15</v>
      </c>
      <c r="F852" s="3">
        <v>6</v>
      </c>
      <c r="H852" s="1" t="s">
        <v>68</v>
      </c>
      <c r="J852" t="s">
        <v>271</v>
      </c>
      <c r="K852" t="s">
        <v>272</v>
      </c>
      <c r="L852" t="s">
        <v>273</v>
      </c>
    </row>
    <row r="853" spans="1:12" ht="15">
      <c r="A853" s="4">
        <v>201403</v>
      </c>
      <c r="B853" t="s">
        <v>270</v>
      </c>
      <c r="C853" s="5">
        <v>6530162</v>
      </c>
      <c r="D853" s="2" t="s">
        <v>640</v>
      </c>
      <c r="E853" s="2" t="s">
        <v>15</v>
      </c>
      <c r="F853" s="3">
        <v>10.97</v>
      </c>
      <c r="H853" s="1" t="s">
        <v>14</v>
      </c>
      <c r="I853" t="s">
        <v>639</v>
      </c>
      <c r="J853" t="s">
        <v>271</v>
      </c>
      <c r="K853" t="s">
        <v>272</v>
      </c>
      <c r="L853" t="s">
        <v>273</v>
      </c>
    </row>
    <row r="854" spans="1:12" ht="15">
      <c r="A854" s="4">
        <v>201403</v>
      </c>
      <c r="B854" t="s">
        <v>270</v>
      </c>
      <c r="C854" s="5">
        <v>6530162</v>
      </c>
      <c r="D854" s="2" t="s">
        <v>640</v>
      </c>
      <c r="E854" s="2" t="s">
        <v>15</v>
      </c>
      <c r="F854" s="3">
        <v>35.54</v>
      </c>
      <c r="H854" s="1" t="s">
        <v>14</v>
      </c>
      <c r="I854" t="s">
        <v>106</v>
      </c>
      <c r="J854" t="s">
        <v>271</v>
      </c>
      <c r="K854" t="s">
        <v>272</v>
      </c>
      <c r="L854" t="s">
        <v>273</v>
      </c>
    </row>
    <row r="855" spans="1:12" ht="15">
      <c r="A855" s="4">
        <v>201403</v>
      </c>
      <c r="B855" t="s">
        <v>270</v>
      </c>
      <c r="C855" s="5">
        <v>6530162</v>
      </c>
      <c r="D855" s="2" t="s">
        <v>640</v>
      </c>
      <c r="E855" s="2" t="s">
        <v>15</v>
      </c>
      <c r="F855" s="3">
        <v>136.86</v>
      </c>
      <c r="H855" s="1" t="s">
        <v>14</v>
      </c>
      <c r="I855" t="s">
        <v>263</v>
      </c>
      <c r="J855" t="s">
        <v>271</v>
      </c>
      <c r="K855" t="s">
        <v>272</v>
      </c>
      <c r="L855" t="s">
        <v>273</v>
      </c>
    </row>
    <row r="856" spans="1:14" ht="15">
      <c r="A856" s="4">
        <v>201404</v>
      </c>
      <c r="B856" t="s">
        <v>270</v>
      </c>
      <c r="C856" s="5">
        <v>6530162</v>
      </c>
      <c r="D856" s="2" t="s">
        <v>640</v>
      </c>
      <c r="E856" s="2" t="s">
        <v>15</v>
      </c>
      <c r="F856" s="3">
        <v>65.34</v>
      </c>
      <c r="G856" t="s">
        <v>57</v>
      </c>
      <c r="H856" s="1" t="s">
        <v>60</v>
      </c>
      <c r="I856" t="e">
        <f>-23471/SI5450/1</f>
        <v>#NAME?</v>
      </c>
      <c r="J856" t="s">
        <v>271</v>
      </c>
      <c r="K856" t="s">
        <v>272</v>
      </c>
      <c r="L856" t="s">
        <v>273</v>
      </c>
      <c r="N856" t="s">
        <v>58</v>
      </c>
    </row>
    <row r="857" spans="1:13" ht="15">
      <c r="A857" s="4">
        <v>201404</v>
      </c>
      <c r="B857" t="s">
        <v>270</v>
      </c>
      <c r="C857" s="5">
        <v>6530162</v>
      </c>
      <c r="D857" s="2" t="s">
        <v>640</v>
      </c>
      <c r="E857" s="2" t="s">
        <v>15</v>
      </c>
      <c r="F857" s="3">
        <v>184</v>
      </c>
      <c r="G857" t="s">
        <v>201</v>
      </c>
      <c r="H857" s="1" t="s">
        <v>60</v>
      </c>
      <c r="I857" t="s">
        <v>641</v>
      </c>
      <c r="J857" t="s">
        <v>271</v>
      </c>
      <c r="K857" t="s">
        <v>272</v>
      </c>
      <c r="L857" t="s">
        <v>273</v>
      </c>
      <c r="M857">
        <v>902576</v>
      </c>
    </row>
    <row r="858" spans="1:13" ht="15">
      <c r="A858" s="4">
        <v>201404</v>
      </c>
      <c r="B858" t="s">
        <v>270</v>
      </c>
      <c r="C858" s="5">
        <v>6530162</v>
      </c>
      <c r="D858" s="2" t="s">
        <v>640</v>
      </c>
      <c r="E858" s="2" t="s">
        <v>15</v>
      </c>
      <c r="F858" s="3">
        <v>285</v>
      </c>
      <c r="G858" t="s">
        <v>201</v>
      </c>
      <c r="H858" s="1" t="s">
        <v>60</v>
      </c>
      <c r="I858" t="e">
        <f>-HEAD-CH103P2T6 HEAD</f>
        <v>#NAME?</v>
      </c>
      <c r="J858" t="s">
        <v>271</v>
      </c>
      <c r="K858" t="s">
        <v>272</v>
      </c>
      <c r="L858" t="s">
        <v>273</v>
      </c>
      <c r="M858">
        <v>902576</v>
      </c>
    </row>
    <row r="859" spans="1:13" ht="15">
      <c r="A859" s="4">
        <v>201404</v>
      </c>
      <c r="B859" t="s">
        <v>270</v>
      </c>
      <c r="C859" s="5">
        <v>6530162</v>
      </c>
      <c r="D859" s="2" t="s">
        <v>640</v>
      </c>
      <c r="E859" s="2" t="s">
        <v>15</v>
      </c>
      <c r="F859" s="3">
        <v>620</v>
      </c>
      <c r="G859" t="s">
        <v>201</v>
      </c>
      <c r="H859" s="1" t="s">
        <v>60</v>
      </c>
      <c r="I859" t="s">
        <v>642</v>
      </c>
      <c r="J859" t="s">
        <v>271</v>
      </c>
      <c r="K859" t="s">
        <v>272</v>
      </c>
      <c r="L859" t="s">
        <v>273</v>
      </c>
      <c r="M859">
        <v>902576</v>
      </c>
    </row>
    <row r="860" spans="1:12" ht="15">
      <c r="A860" s="4">
        <v>201403</v>
      </c>
      <c r="B860" t="s">
        <v>270</v>
      </c>
      <c r="C860" s="5">
        <v>6530162</v>
      </c>
      <c r="D860" s="2" t="s">
        <v>640</v>
      </c>
      <c r="E860" s="2" t="s">
        <v>15</v>
      </c>
      <c r="F860" s="3">
        <v>0</v>
      </c>
      <c r="H860" s="1" t="s">
        <v>68</v>
      </c>
      <c r="J860" t="s">
        <v>271</v>
      </c>
      <c r="K860" t="s">
        <v>272</v>
      </c>
      <c r="L860" t="s">
        <v>273</v>
      </c>
    </row>
    <row r="861" spans="1:12" ht="15">
      <c r="A861" s="4">
        <v>201403</v>
      </c>
      <c r="B861" t="s">
        <v>270</v>
      </c>
      <c r="C861" s="5">
        <v>6530162</v>
      </c>
      <c r="D861" s="2" t="s">
        <v>640</v>
      </c>
      <c r="E861" s="2" t="s">
        <v>15</v>
      </c>
      <c r="F861" s="3">
        <v>0</v>
      </c>
      <c r="H861" s="1" t="s">
        <v>68</v>
      </c>
      <c r="J861" t="s">
        <v>271</v>
      </c>
      <c r="K861" t="s">
        <v>272</v>
      </c>
      <c r="L861" t="s">
        <v>273</v>
      </c>
    </row>
    <row r="862" spans="1:12" ht="15">
      <c r="A862" s="4">
        <v>201403</v>
      </c>
      <c r="B862" t="s">
        <v>270</v>
      </c>
      <c r="C862" s="5">
        <v>6530162</v>
      </c>
      <c r="D862" s="2" t="s">
        <v>640</v>
      </c>
      <c r="E862" s="2" t="s">
        <v>15</v>
      </c>
      <c r="F862" s="3">
        <v>12</v>
      </c>
      <c r="H862" s="1" t="s">
        <v>68</v>
      </c>
      <c r="J862" t="s">
        <v>271</v>
      </c>
      <c r="K862" t="s">
        <v>272</v>
      </c>
      <c r="L862" t="s">
        <v>273</v>
      </c>
    </row>
    <row r="863" spans="1:14" ht="15">
      <c r="A863" s="4">
        <v>201404</v>
      </c>
      <c r="B863" t="s">
        <v>270</v>
      </c>
      <c r="C863" s="5">
        <v>6530162</v>
      </c>
      <c r="D863" s="2" t="s">
        <v>640</v>
      </c>
      <c r="E863" s="2" t="s">
        <v>15</v>
      </c>
      <c r="F863" s="3">
        <v>0.88</v>
      </c>
      <c r="G863" t="s">
        <v>57</v>
      </c>
      <c r="H863" s="1" t="s">
        <v>69</v>
      </c>
      <c r="I863" t="e">
        <f>-23471/SI5450/1</f>
        <v>#NAME?</v>
      </c>
      <c r="J863" t="s">
        <v>271</v>
      </c>
      <c r="K863" t="s">
        <v>272</v>
      </c>
      <c r="L863" t="s">
        <v>273</v>
      </c>
      <c r="N863" t="s">
        <v>58</v>
      </c>
    </row>
    <row r="864" spans="1:12" ht="15">
      <c r="A864" s="4">
        <v>201404</v>
      </c>
      <c r="B864" t="s">
        <v>270</v>
      </c>
      <c r="C864" s="5">
        <v>6530162</v>
      </c>
      <c r="D864" s="2" t="s">
        <v>640</v>
      </c>
      <c r="E864" s="2" t="s">
        <v>15</v>
      </c>
      <c r="F864" s="3">
        <v>14.63</v>
      </c>
      <c r="G864" t="s">
        <v>201</v>
      </c>
      <c r="H864" s="1" t="s">
        <v>69</v>
      </c>
      <c r="I864" t="e">
        <f>-freight</f>
        <v>#NAME?</v>
      </c>
      <c r="J864" t="s">
        <v>271</v>
      </c>
      <c r="K864" t="s">
        <v>272</v>
      </c>
      <c r="L864" t="s">
        <v>273</v>
      </c>
    </row>
    <row r="865" spans="1:12" ht="15">
      <c r="A865" s="4">
        <v>201404</v>
      </c>
      <c r="B865" t="s">
        <v>270</v>
      </c>
      <c r="C865" s="5">
        <v>6530230</v>
      </c>
      <c r="D865" s="2" t="s">
        <v>644</v>
      </c>
      <c r="E865" s="2" t="s">
        <v>15</v>
      </c>
      <c r="F865" s="3">
        <v>2804.93</v>
      </c>
      <c r="H865" s="1" t="s">
        <v>14</v>
      </c>
      <c r="I865" t="s">
        <v>643</v>
      </c>
      <c r="J865" t="s">
        <v>271</v>
      </c>
      <c r="K865" t="s">
        <v>272</v>
      </c>
      <c r="L865" t="s">
        <v>273</v>
      </c>
    </row>
    <row r="866" spans="1:12" ht="15">
      <c r="A866" s="4">
        <v>201405</v>
      </c>
      <c r="B866" t="s">
        <v>270</v>
      </c>
      <c r="C866" s="5">
        <v>6530230</v>
      </c>
      <c r="D866" s="2" t="s">
        <v>644</v>
      </c>
      <c r="E866" s="2" t="s">
        <v>15</v>
      </c>
      <c r="F866" s="3">
        <v>29.37</v>
      </c>
      <c r="H866" s="1" t="s">
        <v>14</v>
      </c>
      <c r="I866" t="s">
        <v>645</v>
      </c>
      <c r="J866" t="s">
        <v>271</v>
      </c>
      <c r="K866" t="s">
        <v>272</v>
      </c>
      <c r="L866" t="s">
        <v>273</v>
      </c>
    </row>
    <row r="867" spans="1:12" ht="15">
      <c r="A867" s="4">
        <v>201405</v>
      </c>
      <c r="B867" t="s">
        <v>270</v>
      </c>
      <c r="C867" s="5">
        <v>6530230</v>
      </c>
      <c r="D867" s="2" t="s">
        <v>644</v>
      </c>
      <c r="E867" s="2" t="s">
        <v>15</v>
      </c>
      <c r="F867" s="3">
        <v>97.63</v>
      </c>
      <c r="H867" s="1" t="s">
        <v>14</v>
      </c>
      <c r="I867" t="s">
        <v>608</v>
      </c>
      <c r="J867" t="s">
        <v>271</v>
      </c>
      <c r="K867" t="s">
        <v>272</v>
      </c>
      <c r="L867" t="s">
        <v>273</v>
      </c>
    </row>
    <row r="868" spans="1:12" ht="15">
      <c r="A868" s="4">
        <v>201405</v>
      </c>
      <c r="B868" t="s">
        <v>270</v>
      </c>
      <c r="C868" s="5">
        <v>6530230</v>
      </c>
      <c r="D868" s="2" t="s">
        <v>644</v>
      </c>
      <c r="E868" s="2" t="s">
        <v>15</v>
      </c>
      <c r="F868" s="3">
        <v>100.58</v>
      </c>
      <c r="H868" s="1" t="s">
        <v>14</v>
      </c>
      <c r="I868" t="s">
        <v>646</v>
      </c>
      <c r="J868" t="s">
        <v>271</v>
      </c>
      <c r="K868" t="s">
        <v>272</v>
      </c>
      <c r="L868" t="s">
        <v>273</v>
      </c>
    </row>
    <row r="869" spans="1:12" ht="15">
      <c r="A869" s="4">
        <v>201405</v>
      </c>
      <c r="B869" t="s">
        <v>270</v>
      </c>
      <c r="C869" s="5">
        <v>6530230</v>
      </c>
      <c r="D869" s="2" t="s">
        <v>644</v>
      </c>
      <c r="E869" s="2" t="s">
        <v>15</v>
      </c>
      <c r="F869" s="3">
        <v>467.49</v>
      </c>
      <c r="H869" s="1" t="s">
        <v>14</v>
      </c>
      <c r="I869" t="s">
        <v>643</v>
      </c>
      <c r="J869" t="s">
        <v>271</v>
      </c>
      <c r="K869" t="s">
        <v>272</v>
      </c>
      <c r="L869" t="s">
        <v>273</v>
      </c>
    </row>
    <row r="870" spans="1:12" ht="15">
      <c r="A870" s="4">
        <v>201403</v>
      </c>
      <c r="B870" t="s">
        <v>270</v>
      </c>
      <c r="C870" s="5">
        <v>6530241</v>
      </c>
      <c r="D870" s="2" t="s">
        <v>647</v>
      </c>
      <c r="E870" s="2" t="s">
        <v>15</v>
      </c>
      <c r="F870" s="3">
        <v>7</v>
      </c>
      <c r="H870" s="1" t="s">
        <v>14</v>
      </c>
      <c r="I870" t="s">
        <v>453</v>
      </c>
      <c r="J870" t="s">
        <v>271</v>
      </c>
      <c r="K870" t="s">
        <v>272</v>
      </c>
      <c r="L870" t="s">
        <v>273</v>
      </c>
    </row>
    <row r="871" spans="1:12" ht="15">
      <c r="A871" s="4">
        <v>201403</v>
      </c>
      <c r="B871" t="s">
        <v>270</v>
      </c>
      <c r="C871" s="5">
        <v>6530241</v>
      </c>
      <c r="D871" s="2" t="s">
        <v>647</v>
      </c>
      <c r="E871" s="2" t="s">
        <v>15</v>
      </c>
      <c r="F871" s="3">
        <v>7.75</v>
      </c>
      <c r="H871" s="1" t="s">
        <v>14</v>
      </c>
      <c r="I871" t="s">
        <v>36</v>
      </c>
      <c r="J871" t="s">
        <v>271</v>
      </c>
      <c r="K871" t="s">
        <v>272</v>
      </c>
      <c r="L871" t="s">
        <v>273</v>
      </c>
    </row>
    <row r="872" spans="1:12" ht="15">
      <c r="A872" s="4">
        <v>201403</v>
      </c>
      <c r="B872" t="s">
        <v>270</v>
      </c>
      <c r="C872" s="5">
        <v>6530241</v>
      </c>
      <c r="D872" s="2" t="s">
        <v>647</v>
      </c>
      <c r="E872" s="2" t="s">
        <v>15</v>
      </c>
      <c r="F872" s="3">
        <v>18.55</v>
      </c>
      <c r="H872" s="1" t="s">
        <v>14</v>
      </c>
      <c r="I872" t="s">
        <v>30</v>
      </c>
      <c r="J872" t="s">
        <v>271</v>
      </c>
      <c r="K872" t="s">
        <v>272</v>
      </c>
      <c r="L872" t="s">
        <v>273</v>
      </c>
    </row>
    <row r="873" spans="1:12" ht="15">
      <c r="A873" s="4">
        <v>201403</v>
      </c>
      <c r="B873" t="s">
        <v>270</v>
      </c>
      <c r="C873" s="5">
        <v>6530364</v>
      </c>
      <c r="D873" s="2" t="s">
        <v>649</v>
      </c>
      <c r="E873" s="2" t="s">
        <v>15</v>
      </c>
      <c r="F873" s="3">
        <v>0</v>
      </c>
      <c r="H873" s="1" t="s">
        <v>14</v>
      </c>
      <c r="I873" t="s">
        <v>648</v>
      </c>
      <c r="J873" t="s">
        <v>271</v>
      </c>
      <c r="K873" t="s">
        <v>272</v>
      </c>
      <c r="L873" t="s">
        <v>273</v>
      </c>
    </row>
    <row r="874" spans="1:12" ht="15">
      <c r="A874" s="4">
        <v>201403</v>
      </c>
      <c r="B874" t="s">
        <v>270</v>
      </c>
      <c r="C874" s="5">
        <v>6530364</v>
      </c>
      <c r="D874" s="2" t="s">
        <v>649</v>
      </c>
      <c r="E874" s="2" t="s">
        <v>15</v>
      </c>
      <c r="F874" s="3">
        <v>2.34</v>
      </c>
      <c r="H874" s="1" t="s">
        <v>14</v>
      </c>
      <c r="I874" t="s">
        <v>363</v>
      </c>
      <c r="J874" t="s">
        <v>271</v>
      </c>
      <c r="K874" t="s">
        <v>272</v>
      </c>
      <c r="L874" t="s">
        <v>273</v>
      </c>
    </row>
    <row r="875" spans="1:12" ht="15">
      <c r="A875" s="4">
        <v>201403</v>
      </c>
      <c r="B875" t="s">
        <v>270</v>
      </c>
      <c r="C875" s="5">
        <v>6530364</v>
      </c>
      <c r="D875" s="2" t="s">
        <v>649</v>
      </c>
      <c r="E875" s="2" t="s">
        <v>15</v>
      </c>
      <c r="F875" s="3">
        <v>3.48</v>
      </c>
      <c r="H875" s="1" t="s">
        <v>14</v>
      </c>
      <c r="I875" t="s">
        <v>650</v>
      </c>
      <c r="J875" t="s">
        <v>271</v>
      </c>
      <c r="K875" t="s">
        <v>272</v>
      </c>
      <c r="L875" t="s">
        <v>273</v>
      </c>
    </row>
    <row r="876" spans="1:12" ht="15">
      <c r="A876" s="4">
        <v>201403</v>
      </c>
      <c r="B876" t="s">
        <v>270</v>
      </c>
      <c r="C876" s="5">
        <v>6530364</v>
      </c>
      <c r="D876" s="2" t="s">
        <v>649</v>
      </c>
      <c r="E876" s="2" t="s">
        <v>15</v>
      </c>
      <c r="F876" s="3">
        <v>4.95</v>
      </c>
      <c r="H876" s="1" t="s">
        <v>14</v>
      </c>
      <c r="I876" t="s">
        <v>651</v>
      </c>
      <c r="J876" t="s">
        <v>271</v>
      </c>
      <c r="K876" t="s">
        <v>272</v>
      </c>
      <c r="L876" t="s">
        <v>273</v>
      </c>
    </row>
    <row r="877" spans="1:12" ht="15">
      <c r="A877" s="4">
        <v>201403</v>
      </c>
      <c r="B877" t="s">
        <v>270</v>
      </c>
      <c r="C877" s="5">
        <v>6530364</v>
      </c>
      <c r="D877" s="2" t="s">
        <v>649</v>
      </c>
      <c r="E877" s="2" t="s">
        <v>15</v>
      </c>
      <c r="F877" s="3">
        <v>5.25</v>
      </c>
      <c r="H877" s="1" t="s">
        <v>14</v>
      </c>
      <c r="I877" t="s">
        <v>24</v>
      </c>
      <c r="J877" t="s">
        <v>271</v>
      </c>
      <c r="K877" t="s">
        <v>272</v>
      </c>
      <c r="L877" t="s">
        <v>273</v>
      </c>
    </row>
    <row r="878" spans="1:12" ht="15">
      <c r="A878" s="4">
        <v>201403</v>
      </c>
      <c r="B878" t="s">
        <v>270</v>
      </c>
      <c r="C878" s="5">
        <v>6530364</v>
      </c>
      <c r="D878" s="2" t="s">
        <v>649</v>
      </c>
      <c r="E878" s="2" t="s">
        <v>15</v>
      </c>
      <c r="F878" s="3">
        <v>13.29</v>
      </c>
      <c r="H878" s="1" t="s">
        <v>14</v>
      </c>
      <c r="I878" t="s">
        <v>89</v>
      </c>
      <c r="J878" t="s">
        <v>271</v>
      </c>
      <c r="K878" t="s">
        <v>272</v>
      </c>
      <c r="L878" t="s">
        <v>273</v>
      </c>
    </row>
    <row r="879" spans="1:12" ht="15">
      <c r="A879" s="4">
        <v>201403</v>
      </c>
      <c r="B879" t="s">
        <v>270</v>
      </c>
      <c r="C879" s="5">
        <v>6530364</v>
      </c>
      <c r="D879" s="2" t="s">
        <v>649</v>
      </c>
      <c r="E879" s="2" t="s">
        <v>15</v>
      </c>
      <c r="F879" s="3">
        <v>21</v>
      </c>
      <c r="H879" s="1" t="s">
        <v>14</v>
      </c>
      <c r="I879" t="s">
        <v>652</v>
      </c>
      <c r="J879" t="s">
        <v>271</v>
      </c>
      <c r="K879" t="s">
        <v>272</v>
      </c>
      <c r="L879" t="s">
        <v>273</v>
      </c>
    </row>
    <row r="880" spans="1:12" ht="15">
      <c r="A880" s="4">
        <v>201403</v>
      </c>
      <c r="B880" t="s">
        <v>270</v>
      </c>
      <c r="C880" s="5">
        <v>6530364</v>
      </c>
      <c r="D880" s="2" t="s">
        <v>649</v>
      </c>
      <c r="E880" s="2" t="s">
        <v>15</v>
      </c>
      <c r="F880" s="3">
        <v>23.25</v>
      </c>
      <c r="H880" s="1" t="s">
        <v>14</v>
      </c>
      <c r="I880" t="s">
        <v>36</v>
      </c>
      <c r="J880" t="s">
        <v>271</v>
      </c>
      <c r="K880" t="s">
        <v>272</v>
      </c>
      <c r="L880" t="s">
        <v>273</v>
      </c>
    </row>
    <row r="881" spans="1:12" ht="15">
      <c r="A881" s="4">
        <v>201403</v>
      </c>
      <c r="B881" t="s">
        <v>270</v>
      </c>
      <c r="C881" s="5">
        <v>6530364</v>
      </c>
      <c r="D881" s="2" t="s">
        <v>649</v>
      </c>
      <c r="E881" s="2" t="s">
        <v>15</v>
      </c>
      <c r="F881" s="3">
        <v>40.5</v>
      </c>
      <c r="H881" s="1" t="s">
        <v>14</v>
      </c>
      <c r="I881" t="s">
        <v>523</v>
      </c>
      <c r="J881" t="s">
        <v>271</v>
      </c>
      <c r="K881" t="s">
        <v>272</v>
      </c>
      <c r="L881" t="s">
        <v>273</v>
      </c>
    </row>
    <row r="882" spans="1:12" ht="15">
      <c r="A882" s="4">
        <v>201403</v>
      </c>
      <c r="B882" t="s">
        <v>270</v>
      </c>
      <c r="C882" s="5">
        <v>6530364</v>
      </c>
      <c r="D882" s="2" t="s">
        <v>649</v>
      </c>
      <c r="E882" s="2" t="s">
        <v>15</v>
      </c>
      <c r="F882" s="3">
        <v>1937</v>
      </c>
      <c r="H882" s="1" t="s">
        <v>14</v>
      </c>
      <c r="I882" t="s">
        <v>653</v>
      </c>
      <c r="J882" t="s">
        <v>271</v>
      </c>
      <c r="K882" t="s">
        <v>272</v>
      </c>
      <c r="L882" t="s">
        <v>273</v>
      </c>
    </row>
    <row r="883" spans="1:13" ht="15">
      <c r="A883" s="4">
        <v>201405</v>
      </c>
      <c r="B883" t="s">
        <v>270</v>
      </c>
      <c r="C883" s="5">
        <v>6530364</v>
      </c>
      <c r="D883" s="2" t="s">
        <v>649</v>
      </c>
      <c r="E883" s="2" t="s">
        <v>15</v>
      </c>
      <c r="F883" s="3">
        <v>6054.16</v>
      </c>
      <c r="G883" t="s">
        <v>294</v>
      </c>
      <c r="H883" s="1" t="s">
        <v>44</v>
      </c>
      <c r="I883" t="s">
        <v>654</v>
      </c>
      <c r="J883" t="s">
        <v>271</v>
      </c>
      <c r="K883" t="s">
        <v>272</v>
      </c>
      <c r="L883" t="s">
        <v>273</v>
      </c>
      <c r="M883">
        <v>904998</v>
      </c>
    </row>
    <row r="884" spans="1:12" ht="15">
      <c r="A884" s="4">
        <v>201403</v>
      </c>
      <c r="B884" t="s">
        <v>270</v>
      </c>
      <c r="C884" s="5">
        <v>6531289</v>
      </c>
      <c r="D884" s="2" t="s">
        <v>655</v>
      </c>
      <c r="E884" s="2" t="s">
        <v>15</v>
      </c>
      <c r="F884" s="3">
        <v>5.25</v>
      </c>
      <c r="H884" s="1" t="s">
        <v>14</v>
      </c>
      <c r="I884" t="s">
        <v>24</v>
      </c>
      <c r="J884" t="s">
        <v>271</v>
      </c>
      <c r="K884" t="s">
        <v>272</v>
      </c>
      <c r="L884" t="s">
        <v>273</v>
      </c>
    </row>
    <row r="885" spans="1:12" ht="15">
      <c r="A885" s="4">
        <v>201403</v>
      </c>
      <c r="B885" t="s">
        <v>270</v>
      </c>
      <c r="C885" s="5">
        <v>6531289</v>
      </c>
      <c r="D885" s="2" t="s">
        <v>655</v>
      </c>
      <c r="E885" s="2" t="s">
        <v>15</v>
      </c>
      <c r="F885" s="3">
        <v>27</v>
      </c>
      <c r="H885" s="1" t="s">
        <v>14</v>
      </c>
      <c r="I885" t="s">
        <v>90</v>
      </c>
      <c r="J885" t="s">
        <v>271</v>
      </c>
      <c r="K885" t="s">
        <v>272</v>
      </c>
      <c r="L885" t="s">
        <v>273</v>
      </c>
    </row>
    <row r="886" spans="1:12" ht="15">
      <c r="A886" s="4">
        <v>201403</v>
      </c>
      <c r="B886" t="s">
        <v>270</v>
      </c>
      <c r="C886" s="5">
        <v>6531289</v>
      </c>
      <c r="D886" s="2" t="s">
        <v>655</v>
      </c>
      <c r="E886" s="2" t="s">
        <v>15</v>
      </c>
      <c r="F886" s="3">
        <v>297.11</v>
      </c>
      <c r="H886" s="1" t="s">
        <v>14</v>
      </c>
      <c r="I886" t="s">
        <v>656</v>
      </c>
      <c r="J886" t="s">
        <v>271</v>
      </c>
      <c r="K886" t="s">
        <v>272</v>
      </c>
      <c r="L886" t="s">
        <v>273</v>
      </c>
    </row>
    <row r="887" spans="1:12" ht="15">
      <c r="A887" s="4">
        <v>201403</v>
      </c>
      <c r="B887" t="s">
        <v>270</v>
      </c>
      <c r="C887" s="5">
        <v>6531290</v>
      </c>
      <c r="D887" s="2" t="s">
        <v>657</v>
      </c>
      <c r="E887" s="2" t="s">
        <v>15</v>
      </c>
      <c r="F887" s="3">
        <v>8.72</v>
      </c>
      <c r="H887" s="1" t="s">
        <v>14</v>
      </c>
      <c r="I887" t="s">
        <v>381</v>
      </c>
      <c r="J887" t="s">
        <v>271</v>
      </c>
      <c r="K887" t="s">
        <v>272</v>
      </c>
      <c r="L887" t="s">
        <v>273</v>
      </c>
    </row>
    <row r="888" spans="1:12" ht="15">
      <c r="A888" s="4">
        <v>201403</v>
      </c>
      <c r="B888" t="s">
        <v>270</v>
      </c>
      <c r="C888" s="5">
        <v>6531290</v>
      </c>
      <c r="D888" s="2" t="s">
        <v>657</v>
      </c>
      <c r="E888" s="2" t="s">
        <v>15</v>
      </c>
      <c r="F888" s="3">
        <v>9.7</v>
      </c>
      <c r="H888" s="1" t="s">
        <v>14</v>
      </c>
      <c r="I888" t="s">
        <v>658</v>
      </c>
      <c r="J888" t="s">
        <v>271</v>
      </c>
      <c r="K888" t="s">
        <v>272</v>
      </c>
      <c r="L888" t="s">
        <v>273</v>
      </c>
    </row>
    <row r="889" spans="1:12" ht="15">
      <c r="A889" s="4">
        <v>201403</v>
      </c>
      <c r="B889" t="s">
        <v>270</v>
      </c>
      <c r="C889" s="5">
        <v>6531290</v>
      </c>
      <c r="D889" s="2" t="s">
        <v>657</v>
      </c>
      <c r="E889" s="2" t="s">
        <v>15</v>
      </c>
      <c r="F889" s="3">
        <v>21</v>
      </c>
      <c r="H889" s="1" t="s">
        <v>14</v>
      </c>
      <c r="I889" t="s">
        <v>151</v>
      </c>
      <c r="J889" t="s">
        <v>271</v>
      </c>
      <c r="K889" t="s">
        <v>272</v>
      </c>
      <c r="L889" t="s">
        <v>273</v>
      </c>
    </row>
    <row r="890" spans="1:12" ht="15">
      <c r="A890" s="4">
        <v>201403</v>
      </c>
      <c r="B890" t="s">
        <v>270</v>
      </c>
      <c r="C890" s="5">
        <v>6531290</v>
      </c>
      <c r="D890" s="2" t="s">
        <v>657</v>
      </c>
      <c r="E890" s="2" t="s">
        <v>15</v>
      </c>
      <c r="F890" s="3">
        <v>159.25</v>
      </c>
      <c r="H890" s="1" t="s">
        <v>14</v>
      </c>
      <c r="I890" t="s">
        <v>659</v>
      </c>
      <c r="J890" t="s">
        <v>271</v>
      </c>
      <c r="K890" t="s">
        <v>272</v>
      </c>
      <c r="L890" t="s">
        <v>273</v>
      </c>
    </row>
    <row r="891" spans="1:12" ht="15">
      <c r="A891" s="4">
        <v>201403</v>
      </c>
      <c r="B891" t="s">
        <v>270</v>
      </c>
      <c r="C891" s="5">
        <v>6531290</v>
      </c>
      <c r="D891" s="2" t="s">
        <v>657</v>
      </c>
      <c r="E891" s="2" t="s">
        <v>15</v>
      </c>
      <c r="F891" s="3">
        <v>297.11</v>
      </c>
      <c r="H891" s="1" t="s">
        <v>14</v>
      </c>
      <c r="I891" t="s">
        <v>656</v>
      </c>
      <c r="J891" t="s">
        <v>271</v>
      </c>
      <c r="K891" t="s">
        <v>272</v>
      </c>
      <c r="L891" t="s">
        <v>273</v>
      </c>
    </row>
    <row r="892" spans="1:12" ht="15">
      <c r="A892" s="4">
        <v>201403</v>
      </c>
      <c r="B892" t="s">
        <v>270</v>
      </c>
      <c r="C892" s="5">
        <v>6531290</v>
      </c>
      <c r="D892" s="2" t="s">
        <v>657</v>
      </c>
      <c r="E892" s="2" t="s">
        <v>15</v>
      </c>
      <c r="F892" s="3">
        <v>1376</v>
      </c>
      <c r="H892" s="1" t="s">
        <v>14</v>
      </c>
      <c r="I892" t="s">
        <v>660</v>
      </c>
      <c r="J892" t="s">
        <v>271</v>
      </c>
      <c r="K892" t="s">
        <v>272</v>
      </c>
      <c r="L892" t="s">
        <v>273</v>
      </c>
    </row>
    <row r="893" spans="1:12" ht="15">
      <c r="A893" s="4">
        <v>201404</v>
      </c>
      <c r="B893" t="s">
        <v>270</v>
      </c>
      <c r="C893" s="5">
        <v>6531312</v>
      </c>
      <c r="D893" s="2" t="s">
        <v>661</v>
      </c>
      <c r="E893" s="2" t="s">
        <v>15</v>
      </c>
      <c r="F893" s="3">
        <v>0.23</v>
      </c>
      <c r="H893" s="1" t="s">
        <v>66</v>
      </c>
      <c r="I893" t="s">
        <v>67</v>
      </c>
      <c r="J893" t="s">
        <v>271</v>
      </c>
      <c r="K893" t="s">
        <v>272</v>
      </c>
      <c r="L893" t="s">
        <v>273</v>
      </c>
    </row>
    <row r="894" spans="1:12" ht="15">
      <c r="A894" s="4">
        <v>201404</v>
      </c>
      <c r="B894" t="s">
        <v>270</v>
      </c>
      <c r="C894" s="5">
        <v>6531332</v>
      </c>
      <c r="D894" s="2" t="s">
        <v>662</v>
      </c>
      <c r="E894" s="2" t="s">
        <v>15</v>
      </c>
      <c r="F894" s="3">
        <v>0.8</v>
      </c>
      <c r="H894" s="1" t="s">
        <v>14</v>
      </c>
      <c r="I894" t="s">
        <v>16</v>
      </c>
      <c r="J894" t="s">
        <v>271</v>
      </c>
      <c r="K894" t="s">
        <v>272</v>
      </c>
      <c r="L894" t="s">
        <v>273</v>
      </c>
    </row>
    <row r="895" spans="1:12" ht="15">
      <c r="A895" s="4">
        <v>201404</v>
      </c>
      <c r="B895" t="s">
        <v>270</v>
      </c>
      <c r="C895" s="5">
        <v>6531332</v>
      </c>
      <c r="D895" s="2" t="s">
        <v>662</v>
      </c>
      <c r="E895" s="2" t="s">
        <v>15</v>
      </c>
      <c r="F895" s="3">
        <v>2.71</v>
      </c>
      <c r="H895" s="1" t="s">
        <v>14</v>
      </c>
      <c r="I895" t="s">
        <v>663</v>
      </c>
      <c r="J895" t="s">
        <v>271</v>
      </c>
      <c r="K895" t="s">
        <v>272</v>
      </c>
      <c r="L895" t="s">
        <v>273</v>
      </c>
    </row>
    <row r="896" spans="1:12" ht="15">
      <c r="A896" s="4">
        <v>201404</v>
      </c>
      <c r="B896" t="s">
        <v>270</v>
      </c>
      <c r="C896" s="5">
        <v>6531332</v>
      </c>
      <c r="D896" s="2" t="s">
        <v>662</v>
      </c>
      <c r="E896" s="2" t="s">
        <v>15</v>
      </c>
      <c r="F896" s="3">
        <v>7.71</v>
      </c>
      <c r="H896" s="1" t="s">
        <v>14</v>
      </c>
      <c r="I896" t="s">
        <v>664</v>
      </c>
      <c r="J896" t="s">
        <v>271</v>
      </c>
      <c r="K896" t="s">
        <v>272</v>
      </c>
      <c r="L896" t="s">
        <v>273</v>
      </c>
    </row>
    <row r="897" spans="1:12" ht="15">
      <c r="A897" s="4">
        <v>201404</v>
      </c>
      <c r="B897" t="s">
        <v>270</v>
      </c>
      <c r="C897" s="5">
        <v>6531332</v>
      </c>
      <c r="D897" s="2" t="s">
        <v>662</v>
      </c>
      <c r="E897" s="2" t="s">
        <v>15</v>
      </c>
      <c r="F897" s="3">
        <v>0</v>
      </c>
      <c r="H897" s="1" t="s">
        <v>68</v>
      </c>
      <c r="J897" t="s">
        <v>271</v>
      </c>
      <c r="K897" t="s">
        <v>272</v>
      </c>
      <c r="L897" t="s">
        <v>273</v>
      </c>
    </row>
    <row r="898" spans="1:12" ht="15">
      <c r="A898" s="4">
        <v>201404</v>
      </c>
      <c r="B898" t="s">
        <v>270</v>
      </c>
      <c r="C898" s="5">
        <v>6531332</v>
      </c>
      <c r="D898" s="2" t="s">
        <v>662</v>
      </c>
      <c r="E898" s="2" t="s">
        <v>15</v>
      </c>
      <c r="F898" s="3">
        <v>0</v>
      </c>
      <c r="H898" s="1" t="s">
        <v>68</v>
      </c>
      <c r="J898" t="s">
        <v>271</v>
      </c>
      <c r="K898" t="s">
        <v>272</v>
      </c>
      <c r="L898" t="s">
        <v>273</v>
      </c>
    </row>
    <row r="899" spans="1:12" ht="15">
      <c r="A899" s="4">
        <v>201404</v>
      </c>
      <c r="B899" t="s">
        <v>270</v>
      </c>
      <c r="C899" s="5">
        <v>6531332</v>
      </c>
      <c r="D899" s="2" t="s">
        <v>662</v>
      </c>
      <c r="E899" s="2" t="s">
        <v>15</v>
      </c>
      <c r="F899" s="3">
        <v>12</v>
      </c>
      <c r="H899" s="1" t="s">
        <v>68</v>
      </c>
      <c r="J899" t="s">
        <v>271</v>
      </c>
      <c r="K899" t="s">
        <v>272</v>
      </c>
      <c r="L899" t="s">
        <v>273</v>
      </c>
    </row>
    <row r="900" spans="1:12" ht="15">
      <c r="A900" s="4">
        <v>201404</v>
      </c>
      <c r="B900" t="s">
        <v>270</v>
      </c>
      <c r="C900" s="5">
        <v>6532040</v>
      </c>
      <c r="D900" s="2" t="s">
        <v>665</v>
      </c>
      <c r="E900" s="2" t="s">
        <v>15</v>
      </c>
      <c r="F900" s="3">
        <v>0.8</v>
      </c>
      <c r="H900" s="1" t="s">
        <v>14</v>
      </c>
      <c r="I900" t="s">
        <v>16</v>
      </c>
      <c r="J900" t="s">
        <v>271</v>
      </c>
      <c r="K900" t="s">
        <v>272</v>
      </c>
      <c r="L900" t="s">
        <v>273</v>
      </c>
    </row>
    <row r="901" spans="1:12" ht="15">
      <c r="A901" s="4">
        <v>201404</v>
      </c>
      <c r="B901" t="s">
        <v>270</v>
      </c>
      <c r="C901" s="5">
        <v>6532040</v>
      </c>
      <c r="D901" s="2" t="s">
        <v>665</v>
      </c>
      <c r="E901" s="2" t="s">
        <v>15</v>
      </c>
      <c r="F901" s="3">
        <v>2.49</v>
      </c>
      <c r="H901" s="1" t="s">
        <v>14</v>
      </c>
      <c r="I901" t="s">
        <v>23</v>
      </c>
      <c r="J901" t="s">
        <v>271</v>
      </c>
      <c r="K901" t="s">
        <v>272</v>
      </c>
      <c r="L901" t="s">
        <v>273</v>
      </c>
    </row>
    <row r="902" spans="1:12" ht="15">
      <c r="A902" s="4">
        <v>201404</v>
      </c>
      <c r="B902" t="s">
        <v>270</v>
      </c>
      <c r="C902" s="5">
        <v>6532040</v>
      </c>
      <c r="D902" s="2" t="s">
        <v>665</v>
      </c>
      <c r="E902" s="2" t="s">
        <v>15</v>
      </c>
      <c r="F902" s="3">
        <v>2.8</v>
      </c>
      <c r="H902" s="1" t="s">
        <v>14</v>
      </c>
      <c r="I902" t="s">
        <v>666</v>
      </c>
      <c r="J902" t="s">
        <v>271</v>
      </c>
      <c r="K902" t="s">
        <v>272</v>
      </c>
      <c r="L902" t="s">
        <v>273</v>
      </c>
    </row>
    <row r="903" spans="1:12" ht="15">
      <c r="A903" s="4">
        <v>201404</v>
      </c>
      <c r="B903" t="s">
        <v>270</v>
      </c>
      <c r="C903" s="5">
        <v>6532040</v>
      </c>
      <c r="D903" s="2" t="s">
        <v>665</v>
      </c>
      <c r="E903" s="2" t="s">
        <v>15</v>
      </c>
      <c r="F903" s="3">
        <v>3.2</v>
      </c>
      <c r="H903" s="1" t="s">
        <v>14</v>
      </c>
      <c r="I903" t="s">
        <v>17</v>
      </c>
      <c r="J903" t="s">
        <v>271</v>
      </c>
      <c r="K903" t="s">
        <v>272</v>
      </c>
      <c r="L903" t="s">
        <v>273</v>
      </c>
    </row>
    <row r="904" spans="1:12" ht="15">
      <c r="A904" s="4">
        <v>201404</v>
      </c>
      <c r="B904" t="s">
        <v>270</v>
      </c>
      <c r="C904" s="5">
        <v>6532040</v>
      </c>
      <c r="D904" s="2" t="s">
        <v>665</v>
      </c>
      <c r="E904" s="2" t="s">
        <v>15</v>
      </c>
      <c r="F904" s="3">
        <v>14.5</v>
      </c>
      <c r="H904" s="1" t="s">
        <v>14</v>
      </c>
      <c r="I904" t="s">
        <v>335</v>
      </c>
      <c r="J904" t="s">
        <v>271</v>
      </c>
      <c r="K904" t="s">
        <v>272</v>
      </c>
      <c r="L904" t="s">
        <v>273</v>
      </c>
    </row>
    <row r="905" spans="1:12" ht="15">
      <c r="A905" s="4">
        <v>201404</v>
      </c>
      <c r="B905" t="s">
        <v>270</v>
      </c>
      <c r="C905" s="5">
        <v>6532040</v>
      </c>
      <c r="D905" s="2" t="s">
        <v>665</v>
      </c>
      <c r="E905" s="2" t="s">
        <v>15</v>
      </c>
      <c r="F905" s="3">
        <v>35.95</v>
      </c>
      <c r="H905" s="1" t="s">
        <v>14</v>
      </c>
      <c r="I905" t="s">
        <v>263</v>
      </c>
      <c r="J905" t="s">
        <v>271</v>
      </c>
      <c r="K905" t="s">
        <v>272</v>
      </c>
      <c r="L905" t="s">
        <v>273</v>
      </c>
    </row>
    <row r="906" spans="1:14" ht="15">
      <c r="A906" s="4">
        <v>201403</v>
      </c>
      <c r="B906" t="s">
        <v>270</v>
      </c>
      <c r="C906" s="5">
        <v>6532040</v>
      </c>
      <c r="D906" s="2" t="s">
        <v>665</v>
      </c>
      <c r="E906" s="2" t="s">
        <v>15</v>
      </c>
      <c r="F906" s="3">
        <v>12.4</v>
      </c>
      <c r="G906" t="s">
        <v>57</v>
      </c>
      <c r="H906" s="1" t="s">
        <v>60</v>
      </c>
      <c r="I906" t="e">
        <f>-16294/KY67757617/1</f>
        <v>#NAME?</v>
      </c>
      <c r="J906" t="s">
        <v>271</v>
      </c>
      <c r="K906" t="s">
        <v>272</v>
      </c>
      <c r="L906" t="s">
        <v>273</v>
      </c>
      <c r="N906" t="s">
        <v>58</v>
      </c>
    </row>
    <row r="907" spans="1:13" ht="15">
      <c r="A907" s="4">
        <v>201403</v>
      </c>
      <c r="B907" t="s">
        <v>270</v>
      </c>
      <c r="C907" s="5">
        <v>6532040</v>
      </c>
      <c r="D907" s="2" t="s">
        <v>665</v>
      </c>
      <c r="E907" s="2" t="s">
        <v>15</v>
      </c>
      <c r="F907" s="3">
        <v>206.67</v>
      </c>
      <c r="G907" t="s">
        <v>96</v>
      </c>
      <c r="H907" s="1" t="s">
        <v>60</v>
      </c>
      <c r="I907" t="s">
        <v>667</v>
      </c>
      <c r="J907" t="s">
        <v>271</v>
      </c>
      <c r="K907" t="s">
        <v>272</v>
      </c>
      <c r="L907" t="s">
        <v>273</v>
      </c>
      <c r="M907">
        <v>900469</v>
      </c>
    </row>
    <row r="908" spans="1:13" ht="15">
      <c r="A908" s="4">
        <v>201404</v>
      </c>
      <c r="B908" t="s">
        <v>270</v>
      </c>
      <c r="C908" s="5">
        <v>6532040</v>
      </c>
      <c r="D908" s="2" t="s">
        <v>665</v>
      </c>
      <c r="E908" s="2" t="s">
        <v>15</v>
      </c>
      <c r="F908" s="3">
        <v>-2.07</v>
      </c>
      <c r="G908" t="s">
        <v>96</v>
      </c>
      <c r="H908" s="1" t="s">
        <v>60</v>
      </c>
      <c r="I908" t="s">
        <v>667</v>
      </c>
      <c r="J908" t="s">
        <v>271</v>
      </c>
      <c r="K908" t="s">
        <v>272</v>
      </c>
      <c r="L908" t="s">
        <v>273</v>
      </c>
      <c r="M908">
        <v>900469</v>
      </c>
    </row>
    <row r="909" spans="1:14" ht="15">
      <c r="A909" s="4">
        <v>201404</v>
      </c>
      <c r="B909" t="s">
        <v>270</v>
      </c>
      <c r="C909" s="5">
        <v>6532040</v>
      </c>
      <c r="D909" s="2" t="s">
        <v>665</v>
      </c>
      <c r="E909" s="2" t="s">
        <v>15</v>
      </c>
      <c r="F909" s="3">
        <v>12.72</v>
      </c>
      <c r="G909" t="s">
        <v>57</v>
      </c>
      <c r="H909" s="1" t="s">
        <v>60</v>
      </c>
      <c r="I909">
        <f>-22300/9476677/1</f>
        <v>-0.0023531455171469915</v>
      </c>
      <c r="J909" t="s">
        <v>271</v>
      </c>
      <c r="K909" t="s">
        <v>272</v>
      </c>
      <c r="L909" t="s">
        <v>273</v>
      </c>
      <c r="N909" t="s">
        <v>58</v>
      </c>
    </row>
    <row r="910" spans="1:14" ht="15">
      <c r="A910" s="4">
        <v>201404</v>
      </c>
      <c r="B910" t="s">
        <v>270</v>
      </c>
      <c r="C910" s="5">
        <v>6532040</v>
      </c>
      <c r="D910" s="2" t="s">
        <v>665</v>
      </c>
      <c r="E910" s="2" t="s">
        <v>15</v>
      </c>
      <c r="F910" s="3">
        <v>17.66</v>
      </c>
      <c r="G910" t="s">
        <v>57</v>
      </c>
      <c r="H910" s="1" t="s">
        <v>60</v>
      </c>
      <c r="I910">
        <f>-22300/9475356/1</f>
        <v>-0.0023534735792512702</v>
      </c>
      <c r="J910" t="s">
        <v>271</v>
      </c>
      <c r="K910" t="s">
        <v>272</v>
      </c>
      <c r="L910" t="s">
        <v>273</v>
      </c>
      <c r="N910" t="s">
        <v>58</v>
      </c>
    </row>
    <row r="911" spans="1:14" ht="15">
      <c r="A911" s="4">
        <v>201404</v>
      </c>
      <c r="B911" t="s">
        <v>270</v>
      </c>
      <c r="C911" s="5">
        <v>6532040</v>
      </c>
      <c r="D911" s="2" t="s">
        <v>665</v>
      </c>
      <c r="E911" s="2" t="s">
        <v>15</v>
      </c>
      <c r="F911" s="3">
        <v>25.44</v>
      </c>
      <c r="G911" t="s">
        <v>57</v>
      </c>
      <c r="H911" s="1" t="s">
        <v>60</v>
      </c>
      <c r="I911">
        <f>-22300/9475923/1</f>
        <v>-0.002353332757136165</v>
      </c>
      <c r="J911" t="s">
        <v>271</v>
      </c>
      <c r="K911" t="s">
        <v>272</v>
      </c>
      <c r="L911" t="s">
        <v>273</v>
      </c>
      <c r="N911" t="s">
        <v>58</v>
      </c>
    </row>
    <row r="912" spans="1:13" ht="15">
      <c r="A912" s="4">
        <v>201404</v>
      </c>
      <c r="B912" t="s">
        <v>270</v>
      </c>
      <c r="C912" s="5">
        <v>6532040</v>
      </c>
      <c r="D912" s="2" t="s">
        <v>665</v>
      </c>
      <c r="E912" s="2" t="s">
        <v>15</v>
      </c>
      <c r="F912" s="3">
        <v>36.6</v>
      </c>
      <c r="G912" t="s">
        <v>668</v>
      </c>
      <c r="H912" s="1" t="s">
        <v>60</v>
      </c>
      <c r="I912" t="e">
        <f>-ADAPTER #REF!-950-1622</f>
        <v>#NAME?</v>
      </c>
      <c r="J912" t="s">
        <v>271</v>
      </c>
      <c r="K912" t="s">
        <v>272</v>
      </c>
      <c r="L912" t="s">
        <v>273</v>
      </c>
      <c r="M912">
        <v>903111</v>
      </c>
    </row>
    <row r="913" spans="1:14" ht="15">
      <c r="A913" s="4">
        <v>201404</v>
      </c>
      <c r="B913" t="s">
        <v>270</v>
      </c>
      <c r="C913" s="5">
        <v>6532040</v>
      </c>
      <c r="D913" s="2" t="s">
        <v>665</v>
      </c>
      <c r="E913" s="2" t="s">
        <v>15</v>
      </c>
      <c r="F913" s="3">
        <v>68.44</v>
      </c>
      <c r="G913" t="s">
        <v>57</v>
      </c>
      <c r="H913" s="1" t="s">
        <v>60</v>
      </c>
      <c r="I913">
        <f>-22300/9476671/1</f>
        <v>-0.0023531470070027754</v>
      </c>
      <c r="J913" t="s">
        <v>271</v>
      </c>
      <c r="K913" t="s">
        <v>272</v>
      </c>
      <c r="L913" t="s">
        <v>273</v>
      </c>
      <c r="N913" t="s">
        <v>58</v>
      </c>
    </row>
    <row r="914" spans="1:13" ht="15">
      <c r="A914" s="4">
        <v>201404</v>
      </c>
      <c r="B914" t="s">
        <v>270</v>
      </c>
      <c r="C914" s="5">
        <v>6532040</v>
      </c>
      <c r="D914" s="2" t="s">
        <v>665</v>
      </c>
      <c r="E914" s="2" t="s">
        <v>15</v>
      </c>
      <c r="F914" s="3">
        <v>97.7</v>
      </c>
      <c r="G914" t="s">
        <v>668</v>
      </c>
      <c r="H914" s="1" t="s">
        <v>60</v>
      </c>
      <c r="I914" t="e">
        <f>-PLUG-MALE PLUG #REF!-125-6202</f>
        <v>#NAME?</v>
      </c>
      <c r="J914" t="s">
        <v>271</v>
      </c>
      <c r="K914" t="s">
        <v>272</v>
      </c>
      <c r="L914" t="s">
        <v>273</v>
      </c>
      <c r="M914">
        <v>903111</v>
      </c>
    </row>
    <row r="915" spans="1:13" ht="15">
      <c r="A915" s="4">
        <v>201404</v>
      </c>
      <c r="B915" t="s">
        <v>270</v>
      </c>
      <c r="C915" s="5">
        <v>6532040</v>
      </c>
      <c r="D915" s="2" t="s">
        <v>665</v>
      </c>
      <c r="E915" s="2" t="s">
        <v>15</v>
      </c>
      <c r="F915" s="3">
        <v>109.8</v>
      </c>
      <c r="G915" t="s">
        <v>668</v>
      </c>
      <c r="H915" s="1" t="s">
        <v>60</v>
      </c>
      <c r="I915" t="e">
        <f>-ADAPTER #REF!-950-1622</f>
        <v>#NAME?</v>
      </c>
      <c r="J915" t="s">
        <v>271</v>
      </c>
      <c r="K915" t="s">
        <v>272</v>
      </c>
      <c r="L915" t="s">
        <v>273</v>
      </c>
      <c r="M915">
        <v>903111</v>
      </c>
    </row>
    <row r="916" spans="1:13" ht="15">
      <c r="A916" s="4">
        <v>201404</v>
      </c>
      <c r="B916" t="s">
        <v>270</v>
      </c>
      <c r="C916" s="5">
        <v>6532040</v>
      </c>
      <c r="D916" s="2" t="s">
        <v>665</v>
      </c>
      <c r="E916" s="2" t="s">
        <v>15</v>
      </c>
      <c r="F916" s="3">
        <v>160</v>
      </c>
      <c r="G916" t="s">
        <v>668</v>
      </c>
      <c r="H916" s="1" t="s">
        <v>60</v>
      </c>
      <c r="I916" t="e">
        <f>-Coupler #REF!-125-1202</f>
        <v>#NAME?</v>
      </c>
      <c r="J916" t="s">
        <v>271</v>
      </c>
      <c r="K916" t="s">
        <v>272</v>
      </c>
      <c r="L916" t="s">
        <v>273</v>
      </c>
      <c r="M916">
        <v>903111</v>
      </c>
    </row>
    <row r="917" spans="1:13" ht="15">
      <c r="A917" s="4">
        <v>201404</v>
      </c>
      <c r="B917" t="s">
        <v>270</v>
      </c>
      <c r="C917" s="5">
        <v>6532040</v>
      </c>
      <c r="D917" s="2" t="s">
        <v>665</v>
      </c>
      <c r="E917" s="2" t="s">
        <v>15</v>
      </c>
      <c r="F917" s="3">
        <v>212</v>
      </c>
      <c r="G917" t="s">
        <v>668</v>
      </c>
      <c r="H917" s="1" t="s">
        <v>60</v>
      </c>
      <c r="I917" t="s">
        <v>669</v>
      </c>
      <c r="J917" t="s">
        <v>271</v>
      </c>
      <c r="K917" t="s">
        <v>272</v>
      </c>
      <c r="L917" t="s">
        <v>273</v>
      </c>
      <c r="M917">
        <v>903111</v>
      </c>
    </row>
    <row r="918" spans="1:13" ht="15">
      <c r="A918" s="4">
        <v>201404</v>
      </c>
      <c r="B918" t="s">
        <v>270</v>
      </c>
      <c r="C918" s="5">
        <v>6532040</v>
      </c>
      <c r="D918" s="2" t="s">
        <v>665</v>
      </c>
      <c r="E918" s="2" t="s">
        <v>15</v>
      </c>
      <c r="F918" s="3">
        <v>390.8</v>
      </c>
      <c r="G918" t="s">
        <v>668</v>
      </c>
      <c r="H918" s="1" t="s">
        <v>60</v>
      </c>
      <c r="I918" t="e">
        <f>-PLUG-MALE PLUG #REF!-125-6202</f>
        <v>#NAME?</v>
      </c>
      <c r="J918" t="s">
        <v>271</v>
      </c>
      <c r="K918" t="s">
        <v>272</v>
      </c>
      <c r="L918" t="s">
        <v>273</v>
      </c>
      <c r="M918">
        <v>903111</v>
      </c>
    </row>
    <row r="919" spans="1:13" ht="15">
      <c r="A919" s="4">
        <v>201404</v>
      </c>
      <c r="B919" t="s">
        <v>270</v>
      </c>
      <c r="C919" s="5">
        <v>6532040</v>
      </c>
      <c r="D919" s="2" t="s">
        <v>665</v>
      </c>
      <c r="E919" s="2" t="s">
        <v>15</v>
      </c>
      <c r="F919" s="3">
        <v>424</v>
      </c>
      <c r="G919" t="s">
        <v>668</v>
      </c>
      <c r="H919" s="1" t="s">
        <v>60</v>
      </c>
      <c r="I919" t="s">
        <v>669</v>
      </c>
      <c r="J919" t="s">
        <v>271</v>
      </c>
      <c r="K919" t="s">
        <v>272</v>
      </c>
      <c r="L919" t="s">
        <v>273</v>
      </c>
      <c r="M919">
        <v>903111</v>
      </c>
    </row>
    <row r="920" spans="1:13" ht="15">
      <c r="A920" s="4">
        <v>201404</v>
      </c>
      <c r="B920" t="s">
        <v>270</v>
      </c>
      <c r="C920" s="5">
        <v>6532040</v>
      </c>
      <c r="D920" s="2" t="s">
        <v>665</v>
      </c>
      <c r="E920" s="2" t="s">
        <v>15</v>
      </c>
      <c r="F920" s="3">
        <v>640</v>
      </c>
      <c r="G920" t="s">
        <v>668</v>
      </c>
      <c r="H920" s="1" t="s">
        <v>60</v>
      </c>
      <c r="I920" t="e">
        <f>-Coupler #REF!-125-1202</f>
        <v>#NAME?</v>
      </c>
      <c r="J920" t="s">
        <v>271</v>
      </c>
      <c r="K920" t="s">
        <v>272</v>
      </c>
      <c r="L920" t="s">
        <v>273</v>
      </c>
      <c r="M920">
        <v>903111</v>
      </c>
    </row>
    <row r="921" spans="1:12" ht="15">
      <c r="A921" s="4">
        <v>201404</v>
      </c>
      <c r="B921" t="s">
        <v>270</v>
      </c>
      <c r="C921" s="5">
        <v>6532040</v>
      </c>
      <c r="D921" s="2" t="s">
        <v>665</v>
      </c>
      <c r="E921" s="2" t="s">
        <v>15</v>
      </c>
      <c r="F921" s="3">
        <v>18.67</v>
      </c>
      <c r="H921" s="1" t="s">
        <v>66</v>
      </c>
      <c r="I921" t="s">
        <v>67</v>
      </c>
      <c r="J921" t="s">
        <v>271</v>
      </c>
      <c r="K921" t="s">
        <v>272</v>
      </c>
      <c r="L921" t="s">
        <v>273</v>
      </c>
    </row>
    <row r="922" spans="1:14" ht="15">
      <c r="A922" s="4">
        <v>201403</v>
      </c>
      <c r="B922" t="s">
        <v>270</v>
      </c>
      <c r="C922" s="5">
        <v>6532040</v>
      </c>
      <c r="D922" s="2" t="s">
        <v>665</v>
      </c>
      <c r="E922" s="2" t="s">
        <v>15</v>
      </c>
      <c r="F922" s="3">
        <v>0.94</v>
      </c>
      <c r="G922" t="s">
        <v>57</v>
      </c>
      <c r="H922" s="1" t="s">
        <v>69</v>
      </c>
      <c r="I922" t="e">
        <f>-16294/KY67757617/1</f>
        <v>#NAME?</v>
      </c>
      <c r="J922" t="s">
        <v>271</v>
      </c>
      <c r="K922" t="s">
        <v>272</v>
      </c>
      <c r="L922" t="s">
        <v>273</v>
      </c>
      <c r="N922" t="s">
        <v>58</v>
      </c>
    </row>
    <row r="923" spans="1:12" ht="15">
      <c r="A923" s="4">
        <v>201403</v>
      </c>
      <c r="B923" t="s">
        <v>270</v>
      </c>
      <c r="C923" s="5">
        <v>6532040</v>
      </c>
      <c r="D923" s="2" t="s">
        <v>665</v>
      </c>
      <c r="E923" s="2" t="s">
        <v>15</v>
      </c>
      <c r="F923" s="3">
        <v>15.6</v>
      </c>
      <c r="G923" t="s">
        <v>96</v>
      </c>
      <c r="H923" s="1" t="s">
        <v>69</v>
      </c>
      <c r="I923" t="e">
        <f>-freight</f>
        <v>#NAME?</v>
      </c>
      <c r="J923" t="s">
        <v>271</v>
      </c>
      <c r="K923" t="s">
        <v>272</v>
      </c>
      <c r="L923" t="s">
        <v>273</v>
      </c>
    </row>
    <row r="924" spans="1:14" ht="15">
      <c r="A924" s="4">
        <v>201404</v>
      </c>
      <c r="B924" t="s">
        <v>270</v>
      </c>
      <c r="C924" s="5">
        <v>6532040</v>
      </c>
      <c r="D924" s="2" t="s">
        <v>665</v>
      </c>
      <c r="E924" s="2" t="s">
        <v>15</v>
      </c>
      <c r="F924" s="3">
        <v>4.63</v>
      </c>
      <c r="G924" t="s">
        <v>57</v>
      </c>
      <c r="H924" s="1" t="s">
        <v>69</v>
      </c>
      <c r="I924">
        <f>-22300/9475356/1</f>
        <v>-0.0023534735792512702</v>
      </c>
      <c r="J924" t="s">
        <v>271</v>
      </c>
      <c r="K924" t="s">
        <v>272</v>
      </c>
      <c r="L924" t="s">
        <v>273</v>
      </c>
      <c r="N924" t="s">
        <v>58</v>
      </c>
    </row>
    <row r="925" spans="1:14" ht="15">
      <c r="A925" s="4">
        <v>201404</v>
      </c>
      <c r="B925" t="s">
        <v>270</v>
      </c>
      <c r="C925" s="5">
        <v>6532040</v>
      </c>
      <c r="D925" s="2" t="s">
        <v>665</v>
      </c>
      <c r="E925" s="2" t="s">
        <v>15</v>
      </c>
      <c r="F925" s="3">
        <v>13.61</v>
      </c>
      <c r="G925" t="s">
        <v>57</v>
      </c>
      <c r="H925" s="1" t="s">
        <v>69</v>
      </c>
      <c r="I925">
        <f>-22300/9476677/1</f>
        <v>-0.0023531455171469915</v>
      </c>
      <c r="J925" t="s">
        <v>271</v>
      </c>
      <c r="K925" t="s">
        <v>272</v>
      </c>
      <c r="L925" t="s">
        <v>273</v>
      </c>
      <c r="N925" t="s">
        <v>58</v>
      </c>
    </row>
    <row r="926" spans="1:14" ht="15">
      <c r="A926" s="4">
        <v>201404</v>
      </c>
      <c r="B926" t="s">
        <v>270</v>
      </c>
      <c r="C926" s="5">
        <v>6532040</v>
      </c>
      <c r="D926" s="2" t="s">
        <v>665</v>
      </c>
      <c r="E926" s="2" t="s">
        <v>15</v>
      </c>
      <c r="F926" s="3">
        <v>17.7</v>
      </c>
      <c r="G926" t="s">
        <v>57</v>
      </c>
      <c r="H926" s="1" t="s">
        <v>69</v>
      </c>
      <c r="I926">
        <f>-22300/9476671/1</f>
        <v>-0.0023531470070027754</v>
      </c>
      <c r="J926" t="s">
        <v>271</v>
      </c>
      <c r="K926" t="s">
        <v>272</v>
      </c>
      <c r="L926" t="s">
        <v>273</v>
      </c>
      <c r="N926" t="s">
        <v>58</v>
      </c>
    </row>
    <row r="927" spans="1:14" ht="15">
      <c r="A927" s="4">
        <v>201404</v>
      </c>
      <c r="B927" t="s">
        <v>270</v>
      </c>
      <c r="C927" s="5">
        <v>6532040</v>
      </c>
      <c r="D927" s="2" t="s">
        <v>665</v>
      </c>
      <c r="E927" s="2" t="s">
        <v>15</v>
      </c>
      <c r="F927" s="3">
        <v>25.38</v>
      </c>
      <c r="G927" t="s">
        <v>57</v>
      </c>
      <c r="H927" s="1" t="s">
        <v>69</v>
      </c>
      <c r="I927">
        <f>-22300/9475923/1</f>
        <v>-0.002353332757136165</v>
      </c>
      <c r="J927" t="s">
        <v>271</v>
      </c>
      <c r="K927" t="s">
        <v>272</v>
      </c>
      <c r="L927" t="s">
        <v>273</v>
      </c>
      <c r="N927" t="s">
        <v>58</v>
      </c>
    </row>
    <row r="928" spans="1:12" ht="15">
      <c r="A928" s="4">
        <v>201404</v>
      </c>
      <c r="B928" t="s">
        <v>270</v>
      </c>
      <c r="C928" s="5">
        <v>6532040</v>
      </c>
      <c r="D928" s="2" t="s">
        <v>665</v>
      </c>
      <c r="E928" s="2" t="s">
        <v>15</v>
      </c>
      <c r="F928" s="3">
        <v>77.21</v>
      </c>
      <c r="G928" t="s">
        <v>668</v>
      </c>
      <c r="H928" s="1" t="s">
        <v>69</v>
      </c>
      <c r="I928" t="e">
        <f>-freight</f>
        <v>#NAME?</v>
      </c>
      <c r="J928" t="s">
        <v>271</v>
      </c>
      <c r="K928" t="s">
        <v>272</v>
      </c>
      <c r="L928" t="s">
        <v>273</v>
      </c>
    </row>
    <row r="929" spans="1:12" ht="15">
      <c r="A929" s="4">
        <v>201404</v>
      </c>
      <c r="B929" t="s">
        <v>270</v>
      </c>
      <c r="C929" s="5">
        <v>6532040</v>
      </c>
      <c r="D929" s="2" t="s">
        <v>665</v>
      </c>
      <c r="E929" s="2" t="s">
        <v>15</v>
      </c>
      <c r="F929" s="3">
        <v>226.76</v>
      </c>
      <c r="G929" t="s">
        <v>668</v>
      </c>
      <c r="H929" s="1" t="s">
        <v>69</v>
      </c>
      <c r="I929" t="e">
        <f>-freight</f>
        <v>#NAME?</v>
      </c>
      <c r="J929" t="s">
        <v>271</v>
      </c>
      <c r="K929" t="s">
        <v>272</v>
      </c>
      <c r="L929" t="s">
        <v>273</v>
      </c>
    </row>
    <row r="930" spans="1:12" ht="15">
      <c r="A930" s="4">
        <v>201404</v>
      </c>
      <c r="B930" t="s">
        <v>270</v>
      </c>
      <c r="C930" s="5">
        <v>6532040</v>
      </c>
      <c r="D930" s="2" t="s">
        <v>665</v>
      </c>
      <c r="E930" s="2" t="s">
        <v>15</v>
      </c>
      <c r="F930" s="3">
        <v>295.03</v>
      </c>
      <c r="G930" t="s">
        <v>668</v>
      </c>
      <c r="H930" s="1" t="s">
        <v>69</v>
      </c>
      <c r="I930" t="e">
        <f>-freight</f>
        <v>#NAME?</v>
      </c>
      <c r="J930" t="s">
        <v>271</v>
      </c>
      <c r="K930" t="s">
        <v>272</v>
      </c>
      <c r="L930" t="s">
        <v>273</v>
      </c>
    </row>
    <row r="931" spans="1:12" ht="15">
      <c r="A931" s="4">
        <v>201404</v>
      </c>
      <c r="B931" t="s">
        <v>270</v>
      </c>
      <c r="C931" s="5">
        <v>6532040</v>
      </c>
      <c r="D931" s="2" t="s">
        <v>665</v>
      </c>
      <c r="E931" s="2" t="s">
        <v>15</v>
      </c>
      <c r="F931" s="3">
        <v>423</v>
      </c>
      <c r="G931" t="s">
        <v>668</v>
      </c>
      <c r="H931" s="1" t="s">
        <v>69</v>
      </c>
      <c r="I931" t="e">
        <f>-freight/EXPEDITE</f>
        <v>#NAME?</v>
      </c>
      <c r="J931" t="s">
        <v>271</v>
      </c>
      <c r="K931" t="s">
        <v>272</v>
      </c>
      <c r="L931" t="s">
        <v>273</v>
      </c>
    </row>
    <row r="932" spans="1:12" ht="15">
      <c r="A932" s="4">
        <v>201404</v>
      </c>
      <c r="B932" t="s">
        <v>270</v>
      </c>
      <c r="C932" s="5">
        <v>6532295</v>
      </c>
      <c r="D932" s="2" t="s">
        <v>671</v>
      </c>
      <c r="E932" s="2" t="s">
        <v>15</v>
      </c>
      <c r="F932" s="3">
        <v>11</v>
      </c>
      <c r="H932" s="1" t="s">
        <v>14</v>
      </c>
      <c r="I932" t="s">
        <v>670</v>
      </c>
      <c r="J932" t="s">
        <v>271</v>
      </c>
      <c r="K932" t="s">
        <v>272</v>
      </c>
      <c r="L932" t="s">
        <v>273</v>
      </c>
    </row>
    <row r="933" spans="1:12" ht="15">
      <c r="A933" s="4">
        <v>201404</v>
      </c>
      <c r="B933" t="s">
        <v>270</v>
      </c>
      <c r="C933" s="5">
        <v>6532297</v>
      </c>
      <c r="D933" s="2" t="s">
        <v>672</v>
      </c>
      <c r="E933" s="2" t="s">
        <v>15</v>
      </c>
      <c r="F933" s="3">
        <v>20.75</v>
      </c>
      <c r="H933" s="1" t="s">
        <v>14</v>
      </c>
      <c r="I933" t="s">
        <v>319</v>
      </c>
      <c r="J933" t="s">
        <v>271</v>
      </c>
      <c r="K933" t="s">
        <v>272</v>
      </c>
      <c r="L933" t="s">
        <v>273</v>
      </c>
    </row>
    <row r="934" spans="1:12" ht="15">
      <c r="A934" s="4">
        <v>201404</v>
      </c>
      <c r="B934" t="s">
        <v>270</v>
      </c>
      <c r="C934" s="5">
        <v>6532297</v>
      </c>
      <c r="D934" s="2" t="s">
        <v>672</v>
      </c>
      <c r="E934" s="2" t="s">
        <v>15</v>
      </c>
      <c r="F934" s="3">
        <v>89.66</v>
      </c>
      <c r="H934" s="1" t="s">
        <v>14</v>
      </c>
      <c r="I934" t="s">
        <v>673</v>
      </c>
      <c r="J934" t="s">
        <v>271</v>
      </c>
      <c r="K934" t="s">
        <v>272</v>
      </c>
      <c r="L934" t="s">
        <v>273</v>
      </c>
    </row>
    <row r="935" spans="1:12" ht="15">
      <c r="A935" s="4">
        <v>201404</v>
      </c>
      <c r="B935" t="s">
        <v>270</v>
      </c>
      <c r="C935" s="5">
        <v>6532297</v>
      </c>
      <c r="D935" s="2" t="s">
        <v>672</v>
      </c>
      <c r="E935" s="2" t="s">
        <v>15</v>
      </c>
      <c r="F935" s="3">
        <v>334.25</v>
      </c>
      <c r="H935" s="1" t="s">
        <v>14</v>
      </c>
      <c r="I935" t="s">
        <v>674</v>
      </c>
      <c r="J935" t="s">
        <v>271</v>
      </c>
      <c r="K935" t="s">
        <v>272</v>
      </c>
      <c r="L935" t="s">
        <v>273</v>
      </c>
    </row>
    <row r="936" spans="1:13" ht="15">
      <c r="A936" s="4">
        <v>201404</v>
      </c>
      <c r="B936" t="s">
        <v>270</v>
      </c>
      <c r="C936" s="5">
        <v>6532297</v>
      </c>
      <c r="D936" s="2" t="s">
        <v>672</v>
      </c>
      <c r="E936" s="2" t="s">
        <v>15</v>
      </c>
      <c r="F936" s="3">
        <v>2079.97</v>
      </c>
      <c r="G936" t="s">
        <v>47</v>
      </c>
      <c r="H936" s="1" t="s">
        <v>46</v>
      </c>
      <c r="I936" t="s">
        <v>48</v>
      </c>
      <c r="J936" t="s">
        <v>271</v>
      </c>
      <c r="K936" t="s">
        <v>272</v>
      </c>
      <c r="L936" t="s">
        <v>273</v>
      </c>
      <c r="M936">
        <v>904363</v>
      </c>
    </row>
    <row r="937" spans="1:12" ht="15">
      <c r="A937" s="4">
        <v>201402</v>
      </c>
      <c r="B937" t="s">
        <v>270</v>
      </c>
      <c r="C937" s="5">
        <v>6532400</v>
      </c>
      <c r="D937" s="2" t="s">
        <v>676</v>
      </c>
      <c r="E937" s="2" t="s">
        <v>15</v>
      </c>
      <c r="F937" s="3">
        <v>4.81</v>
      </c>
      <c r="H937" s="1" t="s">
        <v>14</v>
      </c>
      <c r="I937" t="s">
        <v>675</v>
      </c>
      <c r="J937" t="s">
        <v>271</v>
      </c>
      <c r="K937" t="s">
        <v>272</v>
      </c>
      <c r="L937" t="s">
        <v>273</v>
      </c>
    </row>
    <row r="938" spans="1:12" ht="15">
      <c r="A938" s="4">
        <v>201402</v>
      </c>
      <c r="B938" t="s">
        <v>270</v>
      </c>
      <c r="C938" s="5">
        <v>6532400</v>
      </c>
      <c r="D938" s="2" t="s">
        <v>676</v>
      </c>
      <c r="E938" s="2" t="s">
        <v>15</v>
      </c>
      <c r="F938" s="3">
        <v>6.77</v>
      </c>
      <c r="H938" s="1" t="s">
        <v>14</v>
      </c>
      <c r="I938" t="s">
        <v>677</v>
      </c>
      <c r="J938" t="s">
        <v>271</v>
      </c>
      <c r="K938" t="s">
        <v>272</v>
      </c>
      <c r="L938" t="s">
        <v>273</v>
      </c>
    </row>
    <row r="939" spans="1:12" ht="15">
      <c r="A939" s="4">
        <v>201402</v>
      </c>
      <c r="B939" t="s">
        <v>270</v>
      </c>
      <c r="C939" s="5">
        <v>6532400</v>
      </c>
      <c r="D939" s="2" t="s">
        <v>676</v>
      </c>
      <c r="E939" s="2" t="s">
        <v>15</v>
      </c>
      <c r="F939" s="3">
        <v>8.21</v>
      </c>
      <c r="H939" s="1" t="s">
        <v>14</v>
      </c>
      <c r="I939" t="s">
        <v>663</v>
      </c>
      <c r="J939" t="s">
        <v>271</v>
      </c>
      <c r="K939" t="s">
        <v>272</v>
      </c>
      <c r="L939" t="s">
        <v>273</v>
      </c>
    </row>
    <row r="940" spans="1:12" ht="15">
      <c r="A940" s="4">
        <v>201402</v>
      </c>
      <c r="B940" t="s">
        <v>270</v>
      </c>
      <c r="C940" s="5">
        <v>6532400</v>
      </c>
      <c r="D940" s="2" t="s">
        <v>676</v>
      </c>
      <c r="E940" s="2" t="s">
        <v>15</v>
      </c>
      <c r="F940" s="3">
        <v>4.73</v>
      </c>
      <c r="H940" s="1" t="s">
        <v>66</v>
      </c>
      <c r="I940" t="s">
        <v>67</v>
      </c>
      <c r="J940" t="s">
        <v>271</v>
      </c>
      <c r="K940" t="s">
        <v>272</v>
      </c>
      <c r="L940" t="s">
        <v>273</v>
      </c>
    </row>
    <row r="941" spans="1:12" ht="15">
      <c r="A941" s="4">
        <v>201403</v>
      </c>
      <c r="B941" t="s">
        <v>270</v>
      </c>
      <c r="C941" s="5">
        <v>6532400</v>
      </c>
      <c r="D941" s="2" t="s">
        <v>676</v>
      </c>
      <c r="E941" s="2" t="s">
        <v>15</v>
      </c>
      <c r="F941" s="3">
        <v>0</v>
      </c>
      <c r="H941" s="1" t="s">
        <v>66</v>
      </c>
      <c r="I941" t="s">
        <v>67</v>
      </c>
      <c r="J941" t="s">
        <v>271</v>
      </c>
      <c r="K941" t="s">
        <v>272</v>
      </c>
      <c r="L941" t="s">
        <v>273</v>
      </c>
    </row>
    <row r="942" spans="1:12" ht="15">
      <c r="A942" s="4">
        <v>201402</v>
      </c>
      <c r="B942" t="s">
        <v>270</v>
      </c>
      <c r="C942" s="5">
        <v>6532401</v>
      </c>
      <c r="D942" s="2" t="s">
        <v>678</v>
      </c>
      <c r="E942" s="2" t="s">
        <v>15</v>
      </c>
      <c r="F942" s="3">
        <v>0.3</v>
      </c>
      <c r="H942" s="1" t="s">
        <v>66</v>
      </c>
      <c r="I942" t="s">
        <v>67</v>
      </c>
      <c r="J942" t="s">
        <v>271</v>
      </c>
      <c r="K942" t="s">
        <v>272</v>
      </c>
      <c r="L942" t="s">
        <v>273</v>
      </c>
    </row>
    <row r="943" spans="1:12" ht="15">
      <c r="A943" s="4">
        <v>201403</v>
      </c>
      <c r="B943" t="s">
        <v>270</v>
      </c>
      <c r="C943" s="5">
        <v>6532444</v>
      </c>
      <c r="D943" s="2" t="s">
        <v>255</v>
      </c>
      <c r="E943" s="2" t="s">
        <v>15</v>
      </c>
      <c r="F943" s="3">
        <v>0.21</v>
      </c>
      <c r="H943" s="1" t="s">
        <v>66</v>
      </c>
      <c r="I943" t="s">
        <v>67</v>
      </c>
      <c r="J943" t="s">
        <v>271</v>
      </c>
      <c r="K943" t="s">
        <v>272</v>
      </c>
      <c r="L943" t="s">
        <v>273</v>
      </c>
    </row>
    <row r="944" spans="1:13" ht="15">
      <c r="A944" s="4">
        <v>201403</v>
      </c>
      <c r="B944" t="s">
        <v>270</v>
      </c>
      <c r="C944" s="5">
        <v>6532492</v>
      </c>
      <c r="D944" s="2" t="s">
        <v>680</v>
      </c>
      <c r="E944" s="2" t="s">
        <v>15</v>
      </c>
      <c r="F944" s="3">
        <v>748</v>
      </c>
      <c r="G944" t="s">
        <v>79</v>
      </c>
      <c r="H944" s="1" t="s">
        <v>78</v>
      </c>
      <c r="I944" t="s">
        <v>679</v>
      </c>
      <c r="J944" t="s">
        <v>271</v>
      </c>
      <c r="K944" t="s">
        <v>272</v>
      </c>
      <c r="L944" t="s">
        <v>273</v>
      </c>
      <c r="M944">
        <v>901076</v>
      </c>
    </row>
    <row r="945" spans="1:13" ht="15">
      <c r="A945" s="4">
        <v>201403</v>
      </c>
      <c r="B945" t="s">
        <v>270</v>
      </c>
      <c r="C945" s="5">
        <v>6532492</v>
      </c>
      <c r="D945" s="2" t="s">
        <v>680</v>
      </c>
      <c r="E945" s="2" t="s">
        <v>15</v>
      </c>
      <c r="F945" s="3">
        <v>871.2</v>
      </c>
      <c r="G945" t="s">
        <v>79</v>
      </c>
      <c r="H945" s="1" t="s">
        <v>78</v>
      </c>
      <c r="I945" t="s">
        <v>681</v>
      </c>
      <c r="J945" t="s">
        <v>271</v>
      </c>
      <c r="K945" t="s">
        <v>272</v>
      </c>
      <c r="L945" t="s">
        <v>273</v>
      </c>
      <c r="M945">
        <v>900779</v>
      </c>
    </row>
    <row r="946" spans="1:13" ht="15">
      <c r="A946" s="4">
        <v>201404</v>
      </c>
      <c r="B946" t="s">
        <v>270</v>
      </c>
      <c r="C946" s="5">
        <v>6532492</v>
      </c>
      <c r="D946" s="2" t="s">
        <v>680</v>
      </c>
      <c r="E946" s="2" t="s">
        <v>15</v>
      </c>
      <c r="F946" s="3">
        <v>1035.05</v>
      </c>
      <c r="G946" t="s">
        <v>79</v>
      </c>
      <c r="H946" s="1" t="s">
        <v>78</v>
      </c>
      <c r="I946" t="s">
        <v>682</v>
      </c>
      <c r="J946" t="s">
        <v>271</v>
      </c>
      <c r="K946" t="s">
        <v>272</v>
      </c>
      <c r="L946" t="s">
        <v>273</v>
      </c>
      <c r="M946">
        <v>902800</v>
      </c>
    </row>
    <row r="947" spans="1:13" ht="15">
      <c r="A947" s="4">
        <v>201405</v>
      </c>
      <c r="B947" t="s">
        <v>270</v>
      </c>
      <c r="C947" s="5">
        <v>6532492</v>
      </c>
      <c r="D947" s="2" t="s">
        <v>680</v>
      </c>
      <c r="E947" s="2" t="s">
        <v>15</v>
      </c>
      <c r="F947" s="3">
        <v>1025</v>
      </c>
      <c r="G947" t="s">
        <v>79</v>
      </c>
      <c r="H947" s="1" t="s">
        <v>78</v>
      </c>
      <c r="I947" t="s">
        <v>683</v>
      </c>
      <c r="J947" t="s">
        <v>271</v>
      </c>
      <c r="K947" t="s">
        <v>272</v>
      </c>
      <c r="L947" t="s">
        <v>273</v>
      </c>
      <c r="M947">
        <v>905715</v>
      </c>
    </row>
    <row r="948" spans="1:13" ht="15">
      <c r="A948" s="4">
        <v>201403</v>
      </c>
      <c r="B948" t="s">
        <v>270</v>
      </c>
      <c r="C948" s="5">
        <v>6532492</v>
      </c>
      <c r="D948" s="2" t="s">
        <v>680</v>
      </c>
      <c r="E948" s="2" t="s">
        <v>15</v>
      </c>
      <c r="F948" s="3">
        <v>1037.87</v>
      </c>
      <c r="G948" t="s">
        <v>79</v>
      </c>
      <c r="H948" s="1" t="s">
        <v>46</v>
      </c>
      <c r="I948" t="s">
        <v>681</v>
      </c>
      <c r="J948" t="s">
        <v>271</v>
      </c>
      <c r="K948" t="s">
        <v>272</v>
      </c>
      <c r="L948" t="s">
        <v>273</v>
      </c>
      <c r="M948">
        <v>900779</v>
      </c>
    </row>
    <row r="949" spans="1:13" ht="15">
      <c r="A949" s="4">
        <v>201403</v>
      </c>
      <c r="B949" t="s">
        <v>270</v>
      </c>
      <c r="C949" s="5">
        <v>6532492</v>
      </c>
      <c r="D949" s="2" t="s">
        <v>680</v>
      </c>
      <c r="E949" s="2" t="s">
        <v>15</v>
      </c>
      <c r="F949" s="3">
        <v>1112.78</v>
      </c>
      <c r="G949" t="s">
        <v>79</v>
      </c>
      <c r="H949" s="1" t="s">
        <v>46</v>
      </c>
      <c r="I949" t="s">
        <v>679</v>
      </c>
      <c r="J949" t="s">
        <v>271</v>
      </c>
      <c r="K949" t="s">
        <v>272</v>
      </c>
      <c r="L949" t="s">
        <v>273</v>
      </c>
      <c r="M949">
        <v>901076</v>
      </c>
    </row>
    <row r="950" spans="1:13" ht="15">
      <c r="A950" s="4">
        <v>201404</v>
      </c>
      <c r="B950" t="s">
        <v>270</v>
      </c>
      <c r="C950" s="5">
        <v>6532492</v>
      </c>
      <c r="D950" s="2" t="s">
        <v>680</v>
      </c>
      <c r="E950" s="2" t="s">
        <v>15</v>
      </c>
      <c r="F950" s="3">
        <v>1101.65</v>
      </c>
      <c r="G950" t="s">
        <v>79</v>
      </c>
      <c r="H950" s="1" t="s">
        <v>46</v>
      </c>
      <c r="I950" t="s">
        <v>682</v>
      </c>
      <c r="J950" t="s">
        <v>271</v>
      </c>
      <c r="K950" t="s">
        <v>272</v>
      </c>
      <c r="L950" t="s">
        <v>273</v>
      </c>
      <c r="M950">
        <v>902800</v>
      </c>
    </row>
    <row r="951" spans="1:13" ht="15">
      <c r="A951" s="4">
        <v>201405</v>
      </c>
      <c r="B951" t="s">
        <v>270</v>
      </c>
      <c r="C951" s="5">
        <v>6532492</v>
      </c>
      <c r="D951" s="2" t="s">
        <v>680</v>
      </c>
      <c r="E951" s="2" t="s">
        <v>15</v>
      </c>
      <c r="F951" s="3">
        <v>695.75</v>
      </c>
      <c r="G951" t="s">
        <v>79</v>
      </c>
      <c r="H951" s="1" t="s">
        <v>46</v>
      </c>
      <c r="I951" t="s">
        <v>683</v>
      </c>
      <c r="J951" t="s">
        <v>271</v>
      </c>
      <c r="K951" t="s">
        <v>272</v>
      </c>
      <c r="L951" t="s">
        <v>273</v>
      </c>
      <c r="M951">
        <v>905715</v>
      </c>
    </row>
    <row r="952" spans="1:13" ht="15">
      <c r="A952" s="4">
        <v>201404</v>
      </c>
      <c r="B952" t="s">
        <v>270</v>
      </c>
      <c r="C952" s="5">
        <v>6532527</v>
      </c>
      <c r="D952" s="2" t="s">
        <v>684</v>
      </c>
      <c r="E952" s="2" t="s">
        <v>15</v>
      </c>
      <c r="F952" s="3">
        <v>388</v>
      </c>
      <c r="G952" t="s">
        <v>211</v>
      </c>
      <c r="H952" s="1" t="s">
        <v>44</v>
      </c>
      <c r="I952" t="e">
        <f>-labor/MATERIAL-Radiography crew</f>
        <v>#NAME?</v>
      </c>
      <c r="J952" t="s">
        <v>271</v>
      </c>
      <c r="K952" t="s">
        <v>272</v>
      </c>
      <c r="L952" t="s">
        <v>273</v>
      </c>
      <c r="M952">
        <v>903539</v>
      </c>
    </row>
    <row r="953" spans="1:13" ht="15">
      <c r="A953" s="4">
        <v>201404</v>
      </c>
      <c r="B953" t="s">
        <v>270</v>
      </c>
      <c r="C953" s="5">
        <v>6532527</v>
      </c>
      <c r="D953" s="2" t="s">
        <v>684</v>
      </c>
      <c r="E953" s="2" t="s">
        <v>15</v>
      </c>
      <c r="F953" s="3">
        <v>3592.82</v>
      </c>
      <c r="G953" t="s">
        <v>72</v>
      </c>
      <c r="H953" s="1" t="s">
        <v>44</v>
      </c>
      <c r="I953" t="e">
        <f>-labor/MATERIAL-T+M work TO REPAIR any indications/cracks IN the DA heater/storage tank</f>
        <v>#NAME?</v>
      </c>
      <c r="J953" t="s">
        <v>271</v>
      </c>
      <c r="K953" t="s">
        <v>272</v>
      </c>
      <c r="L953" t="s">
        <v>273</v>
      </c>
      <c r="M953">
        <v>900018</v>
      </c>
    </row>
    <row r="954" spans="1:13" ht="15">
      <c r="A954" s="4">
        <v>201404</v>
      </c>
      <c r="B954" t="s">
        <v>270</v>
      </c>
      <c r="C954" s="5">
        <v>6532527</v>
      </c>
      <c r="D954" s="2" t="s">
        <v>684</v>
      </c>
      <c r="E954" s="2" t="s">
        <v>15</v>
      </c>
      <c r="F954" s="3">
        <v>4128.81</v>
      </c>
      <c r="G954" t="s">
        <v>211</v>
      </c>
      <c r="H954" s="1" t="s">
        <v>44</v>
      </c>
      <c r="I954" t="s">
        <v>685</v>
      </c>
      <c r="J954" t="s">
        <v>271</v>
      </c>
      <c r="K954" t="s">
        <v>272</v>
      </c>
      <c r="L954" t="s">
        <v>273</v>
      </c>
      <c r="M954">
        <v>900616</v>
      </c>
    </row>
    <row r="955" spans="1:13" ht="15">
      <c r="A955" s="4">
        <v>201405</v>
      </c>
      <c r="B955" t="s">
        <v>270</v>
      </c>
      <c r="C955" s="5">
        <v>6532527</v>
      </c>
      <c r="D955" s="2" t="s">
        <v>684</v>
      </c>
      <c r="E955" s="2" t="s">
        <v>15</v>
      </c>
      <c r="F955" s="3">
        <v>826</v>
      </c>
      <c r="G955" t="s">
        <v>686</v>
      </c>
      <c r="H955" s="1" t="s">
        <v>44</v>
      </c>
      <c r="I955" t="e">
        <f>-labor/MATERIAL-T+M work TO HEAT Stress weld REPAIR on TC2 Deaerator</f>
        <v>#NAME?</v>
      </c>
      <c r="J955" t="s">
        <v>271</v>
      </c>
      <c r="K955" t="s">
        <v>272</v>
      </c>
      <c r="L955" t="s">
        <v>273</v>
      </c>
      <c r="M955">
        <v>902354</v>
      </c>
    </row>
    <row r="956" spans="1:13" ht="15">
      <c r="A956" s="4">
        <v>201403</v>
      </c>
      <c r="B956" t="s">
        <v>270</v>
      </c>
      <c r="C956" s="5">
        <v>6532527</v>
      </c>
      <c r="D956" s="2" t="s">
        <v>684</v>
      </c>
      <c r="E956" s="2" t="s">
        <v>15</v>
      </c>
      <c r="F956" s="3">
        <v>1399.16</v>
      </c>
      <c r="G956" t="s">
        <v>73</v>
      </c>
      <c r="H956" s="1" t="s">
        <v>46</v>
      </c>
      <c r="I956" t="s">
        <v>94</v>
      </c>
      <c r="J956" t="s">
        <v>271</v>
      </c>
      <c r="K956" t="s">
        <v>272</v>
      </c>
      <c r="L956" t="s">
        <v>273</v>
      </c>
      <c r="M956">
        <v>902317</v>
      </c>
    </row>
    <row r="957" spans="1:13" ht="15">
      <c r="A957" s="4">
        <v>201405</v>
      </c>
      <c r="B957" t="s">
        <v>270</v>
      </c>
      <c r="C957" s="5">
        <v>6532527</v>
      </c>
      <c r="D957" s="2" t="s">
        <v>684</v>
      </c>
      <c r="E957" s="2" t="s">
        <v>15</v>
      </c>
      <c r="F957" s="3">
        <v>1907.66</v>
      </c>
      <c r="G957" t="s">
        <v>73</v>
      </c>
      <c r="H957" s="1" t="s">
        <v>46</v>
      </c>
      <c r="I957" t="s">
        <v>95</v>
      </c>
      <c r="J957" t="s">
        <v>271</v>
      </c>
      <c r="K957" t="s">
        <v>272</v>
      </c>
      <c r="L957" t="s">
        <v>273</v>
      </c>
      <c r="M957">
        <v>904872</v>
      </c>
    </row>
    <row r="958" spans="1:13" ht="15">
      <c r="A958" s="4">
        <v>201405</v>
      </c>
      <c r="B958" t="s">
        <v>270</v>
      </c>
      <c r="C958" s="5">
        <v>6532527</v>
      </c>
      <c r="D958" s="2" t="s">
        <v>684</v>
      </c>
      <c r="E958" s="2" t="s">
        <v>15</v>
      </c>
      <c r="F958" s="3">
        <v>3960.14</v>
      </c>
      <c r="G958" t="s">
        <v>73</v>
      </c>
      <c r="H958" s="1" t="s">
        <v>46</v>
      </c>
      <c r="I958" t="s">
        <v>74</v>
      </c>
      <c r="J958" t="s">
        <v>271</v>
      </c>
      <c r="K958" t="s">
        <v>272</v>
      </c>
      <c r="L958" t="s">
        <v>273</v>
      </c>
      <c r="M958">
        <v>905953</v>
      </c>
    </row>
    <row r="959" spans="1:13" ht="15">
      <c r="A959" s="4">
        <v>201404</v>
      </c>
      <c r="B959" t="s">
        <v>270</v>
      </c>
      <c r="C959" s="5">
        <v>6532528</v>
      </c>
      <c r="D959" s="2" t="s">
        <v>688</v>
      </c>
      <c r="E959" s="2" t="s">
        <v>15</v>
      </c>
      <c r="F959" s="3">
        <v>1995</v>
      </c>
      <c r="G959" t="s">
        <v>687</v>
      </c>
      <c r="H959" s="1" t="s">
        <v>44</v>
      </c>
      <c r="I959" t="e">
        <f>-services TO complete-One tube sample removal and Three tubes plugged</f>
        <v>#NAME?</v>
      </c>
      <c r="J959" t="s">
        <v>271</v>
      </c>
      <c r="K959" t="s">
        <v>272</v>
      </c>
      <c r="L959" t="s">
        <v>273</v>
      </c>
      <c r="M959">
        <v>901894</v>
      </c>
    </row>
    <row r="960" spans="1:13" ht="15">
      <c r="A960" s="4">
        <v>201405</v>
      </c>
      <c r="B960" t="s">
        <v>270</v>
      </c>
      <c r="C960" s="5">
        <v>6533702</v>
      </c>
      <c r="D960" s="2" t="s">
        <v>689</v>
      </c>
      <c r="E960" s="2" t="s">
        <v>15</v>
      </c>
      <c r="F960" s="3">
        <v>4744.16</v>
      </c>
      <c r="G960" t="s">
        <v>73</v>
      </c>
      <c r="H960" s="1" t="s">
        <v>46</v>
      </c>
      <c r="I960" t="s">
        <v>95</v>
      </c>
      <c r="J960" t="s">
        <v>271</v>
      </c>
      <c r="K960" t="s">
        <v>272</v>
      </c>
      <c r="L960" t="s">
        <v>273</v>
      </c>
      <c r="M960">
        <v>904872</v>
      </c>
    </row>
    <row r="961" spans="1:13" ht="15">
      <c r="A961" s="4">
        <v>201407</v>
      </c>
      <c r="B961" t="s">
        <v>270</v>
      </c>
      <c r="C961" s="5">
        <v>6533702</v>
      </c>
      <c r="D961" s="2" t="s">
        <v>689</v>
      </c>
      <c r="E961" s="2" t="s">
        <v>15</v>
      </c>
      <c r="F961" s="3">
        <v>668.57</v>
      </c>
      <c r="G961" t="s">
        <v>73</v>
      </c>
      <c r="H961" s="1" t="s">
        <v>46</v>
      </c>
      <c r="I961" t="s">
        <v>75</v>
      </c>
      <c r="J961" t="s">
        <v>271</v>
      </c>
      <c r="K961" t="s">
        <v>272</v>
      </c>
      <c r="L961" t="s">
        <v>273</v>
      </c>
      <c r="M961">
        <v>908282</v>
      </c>
    </row>
    <row r="962" spans="1:12" ht="15">
      <c r="A962" s="4">
        <v>201402</v>
      </c>
      <c r="B962" t="s">
        <v>270</v>
      </c>
      <c r="C962" s="5">
        <v>6533729</v>
      </c>
      <c r="D962" s="2" t="s">
        <v>691</v>
      </c>
      <c r="E962" s="2" t="s">
        <v>15</v>
      </c>
      <c r="F962" s="3">
        <v>430</v>
      </c>
      <c r="H962" s="1" t="s">
        <v>14</v>
      </c>
      <c r="I962" t="s">
        <v>690</v>
      </c>
      <c r="J962" t="s">
        <v>271</v>
      </c>
      <c r="K962" t="s">
        <v>272</v>
      </c>
      <c r="L962" t="s">
        <v>273</v>
      </c>
    </row>
    <row r="963" spans="1:12" ht="15">
      <c r="A963" s="4">
        <v>201402</v>
      </c>
      <c r="B963" t="s">
        <v>270</v>
      </c>
      <c r="C963" s="5">
        <v>6533729</v>
      </c>
      <c r="D963" s="2" t="s">
        <v>691</v>
      </c>
      <c r="E963" s="2" t="s">
        <v>15</v>
      </c>
      <c r="F963" s="3">
        <v>678</v>
      </c>
      <c r="H963" s="1" t="s">
        <v>14</v>
      </c>
      <c r="I963" t="s">
        <v>692</v>
      </c>
      <c r="J963" t="s">
        <v>271</v>
      </c>
      <c r="K963" t="s">
        <v>272</v>
      </c>
      <c r="L963" t="s">
        <v>273</v>
      </c>
    </row>
    <row r="964" spans="1:12" ht="15">
      <c r="A964" s="4">
        <v>201402</v>
      </c>
      <c r="B964" t="s">
        <v>270</v>
      </c>
      <c r="C964" s="5">
        <v>6533733</v>
      </c>
      <c r="D964" s="2" t="s">
        <v>694</v>
      </c>
      <c r="E964" s="2" t="s">
        <v>15</v>
      </c>
      <c r="F964" s="3">
        <v>92</v>
      </c>
      <c r="H964" s="1" t="s">
        <v>14</v>
      </c>
      <c r="I964" t="s">
        <v>693</v>
      </c>
      <c r="J964" t="s">
        <v>271</v>
      </c>
      <c r="K964" t="s">
        <v>272</v>
      </c>
      <c r="L964" t="s">
        <v>273</v>
      </c>
    </row>
    <row r="965" spans="1:12" ht="15">
      <c r="A965" s="4">
        <v>201402</v>
      </c>
      <c r="B965" t="s">
        <v>270</v>
      </c>
      <c r="C965" s="5">
        <v>6533734</v>
      </c>
      <c r="D965" s="2" t="s">
        <v>695</v>
      </c>
      <c r="E965" s="2" t="s">
        <v>15</v>
      </c>
      <c r="F965" s="3">
        <v>0</v>
      </c>
      <c r="H965" s="1" t="s">
        <v>68</v>
      </c>
      <c r="J965" t="s">
        <v>271</v>
      </c>
      <c r="K965" t="s">
        <v>272</v>
      </c>
      <c r="L965" t="s">
        <v>273</v>
      </c>
    </row>
    <row r="966" spans="1:12" ht="15">
      <c r="A966" s="4">
        <v>201402</v>
      </c>
      <c r="B966" t="s">
        <v>270</v>
      </c>
      <c r="C966" s="5">
        <v>6533734</v>
      </c>
      <c r="D966" s="2" t="s">
        <v>695</v>
      </c>
      <c r="E966" s="2" t="s">
        <v>15</v>
      </c>
      <c r="F966" s="3">
        <v>6</v>
      </c>
      <c r="H966" s="1" t="s">
        <v>68</v>
      </c>
      <c r="J966" t="s">
        <v>271</v>
      </c>
      <c r="K966" t="s">
        <v>272</v>
      </c>
      <c r="L966" t="s">
        <v>273</v>
      </c>
    </row>
    <row r="967" spans="1:13" ht="15">
      <c r="A967" s="4">
        <v>201407</v>
      </c>
      <c r="B967" t="s">
        <v>270</v>
      </c>
      <c r="C967" s="5">
        <v>6533751</v>
      </c>
      <c r="D967" s="2" t="s">
        <v>696</v>
      </c>
      <c r="E967" s="2" t="s">
        <v>15</v>
      </c>
      <c r="F967" s="3">
        <v>576.9</v>
      </c>
      <c r="G967" t="s">
        <v>73</v>
      </c>
      <c r="H967" s="1" t="s">
        <v>46</v>
      </c>
      <c r="I967" t="s">
        <v>75</v>
      </c>
      <c r="J967" t="s">
        <v>271</v>
      </c>
      <c r="K967" t="s">
        <v>272</v>
      </c>
      <c r="L967" t="s">
        <v>273</v>
      </c>
      <c r="M967">
        <v>908282</v>
      </c>
    </row>
    <row r="968" spans="1:12" ht="15">
      <c r="A968" s="4">
        <v>201405</v>
      </c>
      <c r="B968" t="s">
        <v>270</v>
      </c>
      <c r="C968" s="5">
        <v>6533751</v>
      </c>
      <c r="D968" s="2" t="s">
        <v>696</v>
      </c>
      <c r="E968" s="2" t="s">
        <v>15</v>
      </c>
      <c r="F968" s="3">
        <v>2.34</v>
      </c>
      <c r="H968" s="1" t="s">
        <v>66</v>
      </c>
      <c r="I968" t="s">
        <v>67</v>
      </c>
      <c r="J968" t="s">
        <v>271</v>
      </c>
      <c r="K968" t="s">
        <v>272</v>
      </c>
      <c r="L968" t="s">
        <v>273</v>
      </c>
    </row>
    <row r="969" spans="1:13" ht="15">
      <c r="A969" s="4">
        <v>201405</v>
      </c>
      <c r="B969" t="s">
        <v>270</v>
      </c>
      <c r="C969" s="5">
        <v>6533908</v>
      </c>
      <c r="D969" s="2" t="s">
        <v>698</v>
      </c>
      <c r="E969" s="2" t="s">
        <v>15</v>
      </c>
      <c r="F969" s="3">
        <v>335.55</v>
      </c>
      <c r="G969" t="s">
        <v>119</v>
      </c>
      <c r="H969" s="1" t="s">
        <v>46</v>
      </c>
      <c r="I969" t="s">
        <v>697</v>
      </c>
      <c r="J969" t="s">
        <v>271</v>
      </c>
      <c r="K969" t="s">
        <v>272</v>
      </c>
      <c r="L969" t="s">
        <v>273</v>
      </c>
      <c r="M969">
        <v>905659</v>
      </c>
    </row>
    <row r="970" spans="1:12" ht="15">
      <c r="A970" s="4">
        <v>201404</v>
      </c>
      <c r="B970" t="s">
        <v>270</v>
      </c>
      <c r="C970" s="5">
        <v>6533908</v>
      </c>
      <c r="D970" s="2" t="s">
        <v>698</v>
      </c>
      <c r="E970" s="2" t="s">
        <v>15</v>
      </c>
      <c r="F970" s="3">
        <v>3.35</v>
      </c>
      <c r="H970" s="1" t="s">
        <v>66</v>
      </c>
      <c r="I970" t="s">
        <v>67</v>
      </c>
      <c r="J970" t="s">
        <v>271</v>
      </c>
      <c r="K970" t="s">
        <v>272</v>
      </c>
      <c r="L970" t="s">
        <v>273</v>
      </c>
    </row>
    <row r="971" spans="1:12" ht="15">
      <c r="A971" s="4">
        <v>201403</v>
      </c>
      <c r="B971" t="s">
        <v>270</v>
      </c>
      <c r="C971" s="5">
        <v>6534151</v>
      </c>
      <c r="D971" s="2" t="s">
        <v>699</v>
      </c>
      <c r="E971" s="2" t="s">
        <v>15</v>
      </c>
      <c r="F971" s="3">
        <v>11.6</v>
      </c>
      <c r="H971" s="1" t="s">
        <v>14</v>
      </c>
      <c r="I971" t="s">
        <v>37</v>
      </c>
      <c r="J971" t="s">
        <v>271</v>
      </c>
      <c r="K971" t="s">
        <v>272</v>
      </c>
      <c r="L971" t="s">
        <v>273</v>
      </c>
    </row>
    <row r="972" spans="1:12" ht="15">
      <c r="A972" s="4">
        <v>201403</v>
      </c>
      <c r="B972" t="s">
        <v>270</v>
      </c>
      <c r="C972" s="5">
        <v>6534151</v>
      </c>
      <c r="D972" s="2" t="s">
        <v>699</v>
      </c>
      <c r="E972" s="2" t="s">
        <v>15</v>
      </c>
      <c r="F972" s="3">
        <v>39.75</v>
      </c>
      <c r="H972" s="1" t="s">
        <v>14</v>
      </c>
      <c r="I972" t="s">
        <v>200</v>
      </c>
      <c r="J972" t="s">
        <v>271</v>
      </c>
      <c r="K972" t="s">
        <v>272</v>
      </c>
      <c r="L972" t="s">
        <v>273</v>
      </c>
    </row>
    <row r="973" spans="1:12" ht="15">
      <c r="A973" s="4">
        <v>201403</v>
      </c>
      <c r="B973" t="s">
        <v>270</v>
      </c>
      <c r="C973" s="5">
        <v>6534151</v>
      </c>
      <c r="D973" s="2" t="s">
        <v>699</v>
      </c>
      <c r="E973" s="2" t="s">
        <v>15</v>
      </c>
      <c r="F973" s="3">
        <v>157.76</v>
      </c>
      <c r="H973" s="1" t="s">
        <v>14</v>
      </c>
      <c r="I973" t="s">
        <v>41</v>
      </c>
      <c r="J973" t="s">
        <v>271</v>
      </c>
      <c r="K973" t="s">
        <v>272</v>
      </c>
      <c r="L973" t="s">
        <v>273</v>
      </c>
    </row>
    <row r="974" spans="1:12" ht="15">
      <c r="A974" s="4">
        <v>201403</v>
      </c>
      <c r="B974" t="s">
        <v>270</v>
      </c>
      <c r="C974" s="5">
        <v>6534151</v>
      </c>
      <c r="D974" s="2" t="s">
        <v>699</v>
      </c>
      <c r="E974" s="2" t="s">
        <v>15</v>
      </c>
      <c r="F974" s="3">
        <v>1900</v>
      </c>
      <c r="H974" s="1" t="s">
        <v>14</v>
      </c>
      <c r="I974" t="s">
        <v>700</v>
      </c>
      <c r="J974" t="s">
        <v>271</v>
      </c>
      <c r="K974" t="s">
        <v>272</v>
      </c>
      <c r="L974" t="s">
        <v>273</v>
      </c>
    </row>
    <row r="975" spans="1:12" ht="15">
      <c r="A975" s="4">
        <v>201404</v>
      </c>
      <c r="B975" t="s">
        <v>270</v>
      </c>
      <c r="C975" s="5">
        <v>6534151</v>
      </c>
      <c r="D975" s="2" t="s">
        <v>699</v>
      </c>
      <c r="E975" s="2" t="s">
        <v>15</v>
      </c>
      <c r="F975" s="3">
        <v>12</v>
      </c>
      <c r="H975" s="1" t="s">
        <v>14</v>
      </c>
      <c r="I975" t="s">
        <v>701</v>
      </c>
      <c r="J975" t="s">
        <v>271</v>
      </c>
      <c r="K975" t="s">
        <v>272</v>
      </c>
      <c r="L975" t="s">
        <v>273</v>
      </c>
    </row>
    <row r="976" spans="1:12" ht="15">
      <c r="A976" s="4">
        <v>201404</v>
      </c>
      <c r="B976" t="s">
        <v>270</v>
      </c>
      <c r="C976" s="5">
        <v>6534151</v>
      </c>
      <c r="D976" s="2" t="s">
        <v>699</v>
      </c>
      <c r="E976" s="2" t="s">
        <v>15</v>
      </c>
      <c r="F976" s="3">
        <v>0</v>
      </c>
      <c r="H976" s="1" t="s">
        <v>68</v>
      </c>
      <c r="J976" t="s">
        <v>271</v>
      </c>
      <c r="K976" t="s">
        <v>272</v>
      </c>
      <c r="L976" t="s">
        <v>273</v>
      </c>
    </row>
    <row r="977" spans="1:12" ht="15">
      <c r="A977" s="4">
        <v>201404</v>
      </c>
      <c r="B977" t="s">
        <v>270</v>
      </c>
      <c r="C977" s="5">
        <v>6534151</v>
      </c>
      <c r="D977" s="2" t="s">
        <v>699</v>
      </c>
      <c r="E977" s="2" t="s">
        <v>15</v>
      </c>
      <c r="F977" s="3">
        <v>0</v>
      </c>
      <c r="H977" s="1" t="s">
        <v>68</v>
      </c>
      <c r="J977" t="s">
        <v>271</v>
      </c>
      <c r="K977" t="s">
        <v>272</v>
      </c>
      <c r="L977" t="s">
        <v>273</v>
      </c>
    </row>
    <row r="978" spans="1:12" ht="15">
      <c r="A978" s="4">
        <v>201404</v>
      </c>
      <c r="B978" t="s">
        <v>270</v>
      </c>
      <c r="C978" s="5">
        <v>6534151</v>
      </c>
      <c r="D978" s="2" t="s">
        <v>699</v>
      </c>
      <c r="E978" s="2" t="s">
        <v>15</v>
      </c>
      <c r="F978" s="3">
        <v>12</v>
      </c>
      <c r="H978" s="1" t="s">
        <v>68</v>
      </c>
      <c r="J978" t="s">
        <v>271</v>
      </c>
      <c r="K978" t="s">
        <v>272</v>
      </c>
      <c r="L978" t="s">
        <v>273</v>
      </c>
    </row>
    <row r="979" spans="1:12" ht="15">
      <c r="A979" s="4">
        <v>201403</v>
      </c>
      <c r="B979" t="s">
        <v>270</v>
      </c>
      <c r="C979" s="5">
        <v>6534338</v>
      </c>
      <c r="D979" s="2" t="s">
        <v>702</v>
      </c>
      <c r="E979" s="2" t="s">
        <v>15</v>
      </c>
      <c r="F979" s="3">
        <v>6.55</v>
      </c>
      <c r="H979" s="1" t="s">
        <v>66</v>
      </c>
      <c r="I979" t="s">
        <v>67</v>
      </c>
      <c r="J979" t="s">
        <v>271</v>
      </c>
      <c r="K979" t="s">
        <v>272</v>
      </c>
      <c r="L979" t="s">
        <v>273</v>
      </c>
    </row>
    <row r="980" spans="1:12" ht="15">
      <c r="A980" s="4">
        <v>201405</v>
      </c>
      <c r="B980" t="s">
        <v>270</v>
      </c>
      <c r="C980" s="5">
        <v>6534338</v>
      </c>
      <c r="D980" s="2" t="s">
        <v>702</v>
      </c>
      <c r="E980" s="2" t="s">
        <v>15</v>
      </c>
      <c r="F980" s="3">
        <v>0.3</v>
      </c>
      <c r="H980" s="1" t="s">
        <v>66</v>
      </c>
      <c r="I980" t="s">
        <v>67</v>
      </c>
      <c r="J980" t="s">
        <v>271</v>
      </c>
      <c r="K980" t="s">
        <v>272</v>
      </c>
      <c r="L980" t="s">
        <v>273</v>
      </c>
    </row>
    <row r="981" spans="1:12" ht="15">
      <c r="A981" s="4">
        <v>201402</v>
      </c>
      <c r="B981" t="s">
        <v>270</v>
      </c>
      <c r="C981" s="5">
        <v>6534349</v>
      </c>
      <c r="D981" s="2" t="s">
        <v>704</v>
      </c>
      <c r="E981" s="2" t="s">
        <v>15</v>
      </c>
      <c r="F981" s="3">
        <v>771.24</v>
      </c>
      <c r="H981" s="1" t="s">
        <v>60</v>
      </c>
      <c r="I981" t="s">
        <v>703</v>
      </c>
      <c r="J981" t="s">
        <v>271</v>
      </c>
      <c r="K981" t="s">
        <v>272</v>
      </c>
      <c r="L981" t="s">
        <v>273</v>
      </c>
    </row>
    <row r="982" spans="1:12" ht="15">
      <c r="A982" s="4">
        <v>201403</v>
      </c>
      <c r="B982" t="s">
        <v>270</v>
      </c>
      <c r="C982" s="5">
        <v>6534349</v>
      </c>
      <c r="D982" s="2" t="s">
        <v>704</v>
      </c>
      <c r="E982" s="2" t="s">
        <v>15</v>
      </c>
      <c r="F982" s="3">
        <v>-771.24</v>
      </c>
      <c r="H982" s="1" t="s">
        <v>60</v>
      </c>
      <c r="I982" t="s">
        <v>703</v>
      </c>
      <c r="J982" t="s">
        <v>271</v>
      </c>
      <c r="K982" t="s">
        <v>272</v>
      </c>
      <c r="L982" t="s">
        <v>273</v>
      </c>
    </row>
    <row r="983" spans="1:14" ht="15">
      <c r="A983" s="4">
        <v>201403</v>
      </c>
      <c r="B983" t="s">
        <v>270</v>
      </c>
      <c r="C983" s="5">
        <v>6534349</v>
      </c>
      <c r="D983" s="2" t="s">
        <v>704</v>
      </c>
      <c r="E983" s="2" t="s">
        <v>15</v>
      </c>
      <c r="F983" s="3">
        <v>46.27</v>
      </c>
      <c r="G983" t="s">
        <v>57</v>
      </c>
      <c r="H983" s="1" t="s">
        <v>60</v>
      </c>
      <c r="I983">
        <f>-22300/9459508/1</f>
        <v>-0.0023574164745143195</v>
      </c>
      <c r="J983" t="s">
        <v>271</v>
      </c>
      <c r="K983" t="s">
        <v>272</v>
      </c>
      <c r="L983" t="s">
        <v>273</v>
      </c>
      <c r="N983" t="s">
        <v>58</v>
      </c>
    </row>
    <row r="984" spans="1:13" ht="15">
      <c r="A984" s="4">
        <v>201403</v>
      </c>
      <c r="B984" t="s">
        <v>270</v>
      </c>
      <c r="C984" s="5">
        <v>6534349</v>
      </c>
      <c r="D984" s="2" t="s">
        <v>704</v>
      </c>
      <c r="E984" s="2" t="s">
        <v>15</v>
      </c>
      <c r="F984" s="3">
        <v>771.24</v>
      </c>
      <c r="G984" t="s">
        <v>668</v>
      </c>
      <c r="H984" s="1" t="s">
        <v>60</v>
      </c>
      <c r="I984" t="e">
        <f>-HYDRAULIC HOSE ASSEMBLY</f>
        <v>#NAME?</v>
      </c>
      <c r="J984" t="s">
        <v>271</v>
      </c>
      <c r="K984" t="s">
        <v>272</v>
      </c>
      <c r="L984" t="s">
        <v>273</v>
      </c>
      <c r="M984">
        <v>899166</v>
      </c>
    </row>
    <row r="985" spans="1:12" ht="15">
      <c r="A985" s="4">
        <v>201403</v>
      </c>
      <c r="B985" t="s">
        <v>270</v>
      </c>
      <c r="C985" s="5">
        <v>6534349</v>
      </c>
      <c r="D985" s="2" t="s">
        <v>704</v>
      </c>
      <c r="E985" s="2" t="s">
        <v>15</v>
      </c>
      <c r="F985" s="3">
        <v>0.43</v>
      </c>
      <c r="H985" s="1" t="s">
        <v>66</v>
      </c>
      <c r="I985" t="s">
        <v>67</v>
      </c>
      <c r="J985" t="s">
        <v>271</v>
      </c>
      <c r="K985" t="s">
        <v>272</v>
      </c>
      <c r="L985" t="s">
        <v>273</v>
      </c>
    </row>
    <row r="986" spans="1:14" ht="15">
      <c r="A986" s="4">
        <v>201403</v>
      </c>
      <c r="B986" t="s">
        <v>270</v>
      </c>
      <c r="C986" s="5">
        <v>6534349</v>
      </c>
      <c r="D986" s="2" t="s">
        <v>704</v>
      </c>
      <c r="E986" s="2" t="s">
        <v>15</v>
      </c>
      <c r="F986" s="3">
        <v>1.34</v>
      </c>
      <c r="G986" t="s">
        <v>57</v>
      </c>
      <c r="H986" s="1" t="s">
        <v>69</v>
      </c>
      <c r="I986">
        <f>-22300/9459508/1</f>
        <v>-0.0023574164745143195</v>
      </c>
      <c r="J986" t="s">
        <v>271</v>
      </c>
      <c r="K986" t="s">
        <v>272</v>
      </c>
      <c r="L986" t="s">
        <v>273</v>
      </c>
      <c r="N986" t="s">
        <v>58</v>
      </c>
    </row>
    <row r="987" spans="1:12" ht="15">
      <c r="A987" s="4">
        <v>201403</v>
      </c>
      <c r="B987" t="s">
        <v>270</v>
      </c>
      <c r="C987" s="5">
        <v>6534349</v>
      </c>
      <c r="D987" s="2" t="s">
        <v>704</v>
      </c>
      <c r="E987" s="2" t="s">
        <v>15</v>
      </c>
      <c r="F987" s="3">
        <v>22.36</v>
      </c>
      <c r="G987" t="s">
        <v>668</v>
      </c>
      <c r="H987" s="1" t="s">
        <v>69</v>
      </c>
      <c r="I987" t="e">
        <f>-freight</f>
        <v>#NAME?</v>
      </c>
      <c r="J987" t="s">
        <v>271</v>
      </c>
      <c r="K987" t="s">
        <v>272</v>
      </c>
      <c r="L987" t="s">
        <v>273</v>
      </c>
    </row>
    <row r="988" spans="1:12" ht="15">
      <c r="A988" s="4">
        <v>201402</v>
      </c>
      <c r="B988" t="s">
        <v>270</v>
      </c>
      <c r="C988" s="5">
        <v>6534352</v>
      </c>
      <c r="D988" s="2" t="s">
        <v>705</v>
      </c>
      <c r="E988" s="2" t="s">
        <v>15</v>
      </c>
      <c r="F988" s="3">
        <v>2.66</v>
      </c>
      <c r="H988" s="1" t="s">
        <v>66</v>
      </c>
      <c r="I988" t="s">
        <v>67</v>
      </c>
      <c r="J988" t="s">
        <v>271</v>
      </c>
      <c r="K988" t="s">
        <v>272</v>
      </c>
      <c r="L988" t="s">
        <v>273</v>
      </c>
    </row>
    <row r="989" spans="1:12" ht="15">
      <c r="A989" s="4">
        <v>201403</v>
      </c>
      <c r="B989" t="s">
        <v>270</v>
      </c>
      <c r="C989" s="5">
        <v>6534352</v>
      </c>
      <c r="D989" s="2" t="s">
        <v>705</v>
      </c>
      <c r="E989" s="2" t="s">
        <v>15</v>
      </c>
      <c r="F989" s="3">
        <v>0.43</v>
      </c>
      <c r="H989" s="1" t="s">
        <v>66</v>
      </c>
      <c r="I989" t="s">
        <v>67</v>
      </c>
      <c r="J989" t="s">
        <v>271</v>
      </c>
      <c r="K989" t="s">
        <v>272</v>
      </c>
      <c r="L989" t="s">
        <v>273</v>
      </c>
    </row>
    <row r="990" spans="1:12" ht="15">
      <c r="A990" s="4">
        <v>201405</v>
      </c>
      <c r="B990" t="s">
        <v>270</v>
      </c>
      <c r="C990" s="5">
        <v>6534352</v>
      </c>
      <c r="D990" s="2" t="s">
        <v>705</v>
      </c>
      <c r="E990" s="2" t="s">
        <v>15</v>
      </c>
      <c r="F990" s="3">
        <v>2.93</v>
      </c>
      <c r="H990" s="1" t="s">
        <v>66</v>
      </c>
      <c r="I990" t="s">
        <v>67</v>
      </c>
      <c r="J990" t="s">
        <v>271</v>
      </c>
      <c r="K990" t="s">
        <v>272</v>
      </c>
      <c r="L990" t="s">
        <v>273</v>
      </c>
    </row>
    <row r="991" spans="1:12" ht="15">
      <c r="A991" s="4">
        <v>201402</v>
      </c>
      <c r="B991" t="s">
        <v>270</v>
      </c>
      <c r="C991" s="5">
        <v>6534392</v>
      </c>
      <c r="D991" s="2" t="s">
        <v>707</v>
      </c>
      <c r="E991" s="2" t="s">
        <v>15</v>
      </c>
      <c r="F991" s="3">
        <v>9000</v>
      </c>
      <c r="H991" s="1" t="s">
        <v>14</v>
      </c>
      <c r="I991" t="s">
        <v>706</v>
      </c>
      <c r="J991" t="s">
        <v>271</v>
      </c>
      <c r="K991" t="s">
        <v>272</v>
      </c>
      <c r="L991" t="s">
        <v>273</v>
      </c>
    </row>
    <row r="992" spans="1:12" ht="15">
      <c r="A992" s="4">
        <v>201405</v>
      </c>
      <c r="B992" t="s">
        <v>270</v>
      </c>
      <c r="C992" s="5">
        <v>6534392</v>
      </c>
      <c r="D992" s="2" t="s">
        <v>707</v>
      </c>
      <c r="E992" s="2" t="s">
        <v>15</v>
      </c>
      <c r="F992" s="3">
        <v>20.75</v>
      </c>
      <c r="H992" s="1" t="s">
        <v>14</v>
      </c>
      <c r="I992" t="s">
        <v>319</v>
      </c>
      <c r="J992" t="s">
        <v>271</v>
      </c>
      <c r="K992" t="s">
        <v>272</v>
      </c>
      <c r="L992" t="s">
        <v>273</v>
      </c>
    </row>
    <row r="993" spans="1:12" ht="15">
      <c r="A993" s="4">
        <v>201405</v>
      </c>
      <c r="B993" t="s">
        <v>270</v>
      </c>
      <c r="C993" s="5">
        <v>6534392</v>
      </c>
      <c r="D993" s="2" t="s">
        <v>707</v>
      </c>
      <c r="E993" s="2" t="s">
        <v>15</v>
      </c>
      <c r="F993" s="3">
        <v>26.58</v>
      </c>
      <c r="H993" s="1" t="s">
        <v>14</v>
      </c>
      <c r="I993" t="s">
        <v>89</v>
      </c>
      <c r="J993" t="s">
        <v>271</v>
      </c>
      <c r="K993" t="s">
        <v>272</v>
      </c>
      <c r="L993" t="s">
        <v>273</v>
      </c>
    </row>
    <row r="994" spans="1:12" ht="15">
      <c r="A994" s="4">
        <v>201405</v>
      </c>
      <c r="B994" t="s">
        <v>270</v>
      </c>
      <c r="C994" s="5">
        <v>6534392</v>
      </c>
      <c r="D994" s="2" t="s">
        <v>707</v>
      </c>
      <c r="E994" s="2" t="s">
        <v>15</v>
      </c>
      <c r="F994" s="3">
        <v>29.6</v>
      </c>
      <c r="H994" s="1" t="s">
        <v>14</v>
      </c>
      <c r="I994" t="s">
        <v>335</v>
      </c>
      <c r="J994" t="s">
        <v>271</v>
      </c>
      <c r="K994" t="s">
        <v>272</v>
      </c>
      <c r="L994" t="s">
        <v>273</v>
      </c>
    </row>
    <row r="995" spans="1:12" ht="15">
      <c r="A995" s="4">
        <v>201405</v>
      </c>
      <c r="B995" t="s">
        <v>270</v>
      </c>
      <c r="C995" s="5">
        <v>6534392</v>
      </c>
      <c r="D995" s="2" t="s">
        <v>707</v>
      </c>
      <c r="E995" s="2" t="s">
        <v>15</v>
      </c>
      <c r="F995" s="3">
        <v>31</v>
      </c>
      <c r="H995" s="1" t="s">
        <v>14</v>
      </c>
      <c r="I995" t="s">
        <v>36</v>
      </c>
      <c r="J995" t="s">
        <v>271</v>
      </c>
      <c r="K995" t="s">
        <v>272</v>
      </c>
      <c r="L995" t="s">
        <v>273</v>
      </c>
    </row>
    <row r="996" spans="1:13" ht="15">
      <c r="A996" s="4">
        <v>201403</v>
      </c>
      <c r="B996" t="s">
        <v>270</v>
      </c>
      <c r="C996" s="5">
        <v>6534392</v>
      </c>
      <c r="D996" s="2" t="s">
        <v>707</v>
      </c>
      <c r="E996" s="2" t="s">
        <v>15</v>
      </c>
      <c r="F996" s="3">
        <v>3200</v>
      </c>
      <c r="G996" t="s">
        <v>93</v>
      </c>
      <c r="H996" s="1" t="s">
        <v>44</v>
      </c>
      <c r="I996" t="s">
        <v>708</v>
      </c>
      <c r="J996" t="s">
        <v>271</v>
      </c>
      <c r="K996" t="s">
        <v>272</v>
      </c>
      <c r="L996" t="s">
        <v>273</v>
      </c>
      <c r="M996">
        <v>901428</v>
      </c>
    </row>
    <row r="997" spans="1:13" ht="15">
      <c r="A997" s="4">
        <v>201406</v>
      </c>
      <c r="B997" t="s">
        <v>270</v>
      </c>
      <c r="C997" s="5">
        <v>6534392</v>
      </c>
      <c r="D997" s="2" t="s">
        <v>707</v>
      </c>
      <c r="E997" s="2" t="s">
        <v>15</v>
      </c>
      <c r="F997" s="3">
        <v>314.06</v>
      </c>
      <c r="G997" t="s">
        <v>119</v>
      </c>
      <c r="H997" s="1" t="s">
        <v>46</v>
      </c>
      <c r="I997" t="s">
        <v>144</v>
      </c>
      <c r="J997" t="s">
        <v>271</v>
      </c>
      <c r="K997" t="s">
        <v>272</v>
      </c>
      <c r="L997" t="s">
        <v>273</v>
      </c>
      <c r="M997">
        <v>907195</v>
      </c>
    </row>
    <row r="998" spans="1:14" ht="15">
      <c r="A998" s="4">
        <v>201405</v>
      </c>
      <c r="B998" t="s">
        <v>270</v>
      </c>
      <c r="C998" s="5">
        <v>6534392</v>
      </c>
      <c r="D998" s="2" t="s">
        <v>707</v>
      </c>
      <c r="E998" s="2" t="s">
        <v>15</v>
      </c>
      <c r="F998" s="3">
        <v>2976.17</v>
      </c>
      <c r="G998" t="s">
        <v>123</v>
      </c>
      <c r="H998" s="1" t="s">
        <v>60</v>
      </c>
      <c r="I998" t="s">
        <v>709</v>
      </c>
      <c r="J998" t="s">
        <v>271</v>
      </c>
      <c r="K998" t="s">
        <v>272</v>
      </c>
      <c r="L998" t="s">
        <v>273</v>
      </c>
      <c r="N998" t="s">
        <v>124</v>
      </c>
    </row>
    <row r="999" spans="1:12" ht="15">
      <c r="A999" s="4">
        <v>201402</v>
      </c>
      <c r="B999" t="s">
        <v>270</v>
      </c>
      <c r="C999" s="5">
        <v>6534392</v>
      </c>
      <c r="D999" s="2" t="s">
        <v>707</v>
      </c>
      <c r="E999" s="2" t="s">
        <v>15</v>
      </c>
      <c r="F999" s="3">
        <v>15.6</v>
      </c>
      <c r="H999" s="1" t="s">
        <v>66</v>
      </c>
      <c r="I999" t="s">
        <v>67</v>
      </c>
      <c r="J999" t="s">
        <v>271</v>
      </c>
      <c r="K999" t="s">
        <v>272</v>
      </c>
      <c r="L999" t="s">
        <v>273</v>
      </c>
    </row>
    <row r="1000" spans="1:12" ht="15">
      <c r="A1000" s="4">
        <v>201403</v>
      </c>
      <c r="B1000" t="s">
        <v>270</v>
      </c>
      <c r="C1000" s="5">
        <v>6534392</v>
      </c>
      <c r="D1000" s="2" t="s">
        <v>707</v>
      </c>
      <c r="E1000" s="2" t="s">
        <v>15</v>
      </c>
      <c r="F1000" s="3">
        <v>5.37</v>
      </c>
      <c r="H1000" s="1" t="s">
        <v>66</v>
      </c>
      <c r="I1000" t="s">
        <v>67</v>
      </c>
      <c r="J1000" t="s">
        <v>271</v>
      </c>
      <c r="K1000" t="s">
        <v>272</v>
      </c>
      <c r="L1000" t="s">
        <v>273</v>
      </c>
    </row>
    <row r="1001" spans="1:12" ht="15">
      <c r="A1001" s="4">
        <v>201405</v>
      </c>
      <c r="B1001" t="s">
        <v>270</v>
      </c>
      <c r="C1001" s="5">
        <v>6534392</v>
      </c>
      <c r="D1001" s="2" t="s">
        <v>707</v>
      </c>
      <c r="E1001" s="2" t="s">
        <v>15</v>
      </c>
      <c r="F1001" s="3">
        <v>3.63</v>
      </c>
      <c r="H1001" s="1" t="s">
        <v>66</v>
      </c>
      <c r="I1001" t="s">
        <v>67</v>
      </c>
      <c r="J1001" t="s">
        <v>271</v>
      </c>
      <c r="K1001" t="s">
        <v>272</v>
      </c>
      <c r="L1001" t="s">
        <v>273</v>
      </c>
    </row>
    <row r="1002" spans="1:12" ht="15">
      <c r="A1002" s="4">
        <v>201403</v>
      </c>
      <c r="B1002" t="s">
        <v>270</v>
      </c>
      <c r="C1002" s="5">
        <v>6534392</v>
      </c>
      <c r="D1002" s="2" t="s">
        <v>707</v>
      </c>
      <c r="E1002" s="2" t="s">
        <v>15</v>
      </c>
      <c r="F1002" s="3">
        <v>0</v>
      </c>
      <c r="H1002" s="1" t="s">
        <v>68</v>
      </c>
      <c r="J1002" t="s">
        <v>271</v>
      </c>
      <c r="K1002" t="s">
        <v>272</v>
      </c>
      <c r="L1002" t="s">
        <v>273</v>
      </c>
    </row>
    <row r="1003" spans="1:12" ht="15">
      <c r="A1003" s="4">
        <v>201403</v>
      </c>
      <c r="B1003" t="s">
        <v>270</v>
      </c>
      <c r="C1003" s="5">
        <v>6534392</v>
      </c>
      <c r="D1003" s="2" t="s">
        <v>707</v>
      </c>
      <c r="E1003" s="2" t="s">
        <v>15</v>
      </c>
      <c r="F1003" s="3">
        <v>6</v>
      </c>
      <c r="H1003" s="1" t="s">
        <v>68</v>
      </c>
      <c r="J1003" t="s">
        <v>271</v>
      </c>
      <c r="K1003" t="s">
        <v>272</v>
      </c>
      <c r="L1003" t="s">
        <v>273</v>
      </c>
    </row>
    <row r="1004" spans="1:14" ht="15">
      <c r="A1004" s="4">
        <v>201403</v>
      </c>
      <c r="B1004" t="s">
        <v>270</v>
      </c>
      <c r="C1004" s="5">
        <v>6534392</v>
      </c>
      <c r="D1004" s="2" t="s">
        <v>707</v>
      </c>
      <c r="E1004" s="2" t="s">
        <v>15</v>
      </c>
      <c r="F1004" s="3">
        <v>9</v>
      </c>
      <c r="G1004" t="s">
        <v>57</v>
      </c>
      <c r="H1004" s="1" t="s">
        <v>69</v>
      </c>
      <c r="I1004">
        <f>-10762/107289/1</f>
        <v>-0.10030851252225298</v>
      </c>
      <c r="J1004" t="s">
        <v>271</v>
      </c>
      <c r="K1004" t="s">
        <v>272</v>
      </c>
      <c r="L1004" t="s">
        <v>273</v>
      </c>
      <c r="N1004" t="s">
        <v>58</v>
      </c>
    </row>
    <row r="1005" spans="1:12" ht="15">
      <c r="A1005" s="4">
        <v>201403</v>
      </c>
      <c r="B1005" t="s">
        <v>270</v>
      </c>
      <c r="C1005" s="5">
        <v>6534392</v>
      </c>
      <c r="D1005" s="2" t="s">
        <v>707</v>
      </c>
      <c r="E1005" s="2" t="s">
        <v>15</v>
      </c>
      <c r="F1005" s="3">
        <v>150</v>
      </c>
      <c r="G1005" t="s">
        <v>93</v>
      </c>
      <c r="H1005" s="1" t="s">
        <v>69</v>
      </c>
      <c r="I1005" t="e">
        <f>-freight</f>
        <v>#NAME?</v>
      </c>
      <c r="J1005" t="s">
        <v>271</v>
      </c>
      <c r="K1005" t="s">
        <v>272</v>
      </c>
      <c r="L1005" t="s">
        <v>273</v>
      </c>
    </row>
    <row r="1006" spans="1:12" ht="15">
      <c r="A1006" s="4">
        <v>201402</v>
      </c>
      <c r="B1006" t="s">
        <v>270</v>
      </c>
      <c r="C1006" s="5">
        <v>6534395</v>
      </c>
      <c r="D1006" s="2" t="s">
        <v>710</v>
      </c>
      <c r="E1006" s="2" t="s">
        <v>15</v>
      </c>
      <c r="F1006" s="3">
        <v>30.92</v>
      </c>
      <c r="H1006" s="1" t="s">
        <v>14</v>
      </c>
      <c r="I1006" t="s">
        <v>35</v>
      </c>
      <c r="J1006" t="s">
        <v>271</v>
      </c>
      <c r="K1006" t="s">
        <v>272</v>
      </c>
      <c r="L1006" t="s">
        <v>273</v>
      </c>
    </row>
    <row r="1007" spans="1:13" ht="15">
      <c r="A1007" s="4">
        <v>201404</v>
      </c>
      <c r="B1007" t="s">
        <v>270</v>
      </c>
      <c r="C1007" s="5">
        <v>6534395</v>
      </c>
      <c r="D1007" s="2" t="s">
        <v>710</v>
      </c>
      <c r="E1007" s="2" t="s">
        <v>15</v>
      </c>
      <c r="F1007" s="3">
        <v>15663.75</v>
      </c>
      <c r="G1007" t="s">
        <v>93</v>
      </c>
      <c r="H1007" s="1" t="s">
        <v>44</v>
      </c>
      <c r="I1007" t="e">
        <f>-Removing Studs on heater Heads</f>
        <v>#NAME?</v>
      </c>
      <c r="J1007" t="s">
        <v>271</v>
      </c>
      <c r="K1007" t="s">
        <v>272</v>
      </c>
      <c r="L1007" t="s">
        <v>273</v>
      </c>
      <c r="M1007">
        <v>900247</v>
      </c>
    </row>
    <row r="1008" spans="1:13" ht="15">
      <c r="A1008" s="4">
        <v>201405</v>
      </c>
      <c r="B1008" t="s">
        <v>270</v>
      </c>
      <c r="C1008" s="5">
        <v>6534395</v>
      </c>
      <c r="D1008" s="2" t="s">
        <v>710</v>
      </c>
      <c r="E1008" s="2" t="s">
        <v>15</v>
      </c>
      <c r="F1008" s="3">
        <v>445.06</v>
      </c>
      <c r="G1008" t="s">
        <v>73</v>
      </c>
      <c r="H1008" s="1" t="s">
        <v>46</v>
      </c>
      <c r="I1008" t="s">
        <v>74</v>
      </c>
      <c r="J1008" t="s">
        <v>271</v>
      </c>
      <c r="K1008" t="s">
        <v>272</v>
      </c>
      <c r="L1008" t="s">
        <v>273</v>
      </c>
      <c r="M1008">
        <v>905953</v>
      </c>
    </row>
    <row r="1009" spans="1:12" ht="15">
      <c r="A1009" s="4">
        <v>201402</v>
      </c>
      <c r="B1009" t="s">
        <v>270</v>
      </c>
      <c r="C1009" s="5">
        <v>6534395</v>
      </c>
      <c r="D1009" s="2" t="s">
        <v>710</v>
      </c>
      <c r="E1009" s="2" t="s">
        <v>15</v>
      </c>
      <c r="F1009" s="3">
        <v>11.98</v>
      </c>
      <c r="H1009" s="1" t="s">
        <v>66</v>
      </c>
      <c r="I1009" t="s">
        <v>67</v>
      </c>
      <c r="J1009" t="s">
        <v>271</v>
      </c>
      <c r="K1009" t="s">
        <v>272</v>
      </c>
      <c r="L1009" t="s">
        <v>273</v>
      </c>
    </row>
    <row r="1010" spans="1:12" ht="15">
      <c r="A1010" s="4">
        <v>201403</v>
      </c>
      <c r="B1010" t="s">
        <v>270</v>
      </c>
      <c r="C1010" s="5">
        <v>6534395</v>
      </c>
      <c r="D1010" s="2" t="s">
        <v>710</v>
      </c>
      <c r="E1010" s="2" t="s">
        <v>15</v>
      </c>
      <c r="F1010" s="3">
        <v>1.45</v>
      </c>
      <c r="H1010" s="1" t="s">
        <v>66</v>
      </c>
      <c r="I1010" t="s">
        <v>67</v>
      </c>
      <c r="J1010" t="s">
        <v>271</v>
      </c>
      <c r="K1010" t="s">
        <v>272</v>
      </c>
      <c r="L1010" t="s">
        <v>273</v>
      </c>
    </row>
    <row r="1011" spans="1:12" ht="15">
      <c r="A1011" s="4">
        <v>201404</v>
      </c>
      <c r="B1011" t="s">
        <v>270</v>
      </c>
      <c r="C1011" s="5">
        <v>6534395</v>
      </c>
      <c r="D1011" s="2" t="s">
        <v>710</v>
      </c>
      <c r="E1011" s="2" t="s">
        <v>15</v>
      </c>
      <c r="F1011" s="3">
        <v>0.38</v>
      </c>
      <c r="H1011" s="1" t="s">
        <v>66</v>
      </c>
      <c r="I1011" t="s">
        <v>67</v>
      </c>
      <c r="J1011" t="s">
        <v>271</v>
      </c>
      <c r="K1011" t="s">
        <v>272</v>
      </c>
      <c r="L1011" t="s">
        <v>273</v>
      </c>
    </row>
    <row r="1012" spans="1:12" ht="15">
      <c r="A1012" s="4">
        <v>201405</v>
      </c>
      <c r="B1012" t="s">
        <v>270</v>
      </c>
      <c r="C1012" s="5">
        <v>6534395</v>
      </c>
      <c r="D1012" s="2" t="s">
        <v>710</v>
      </c>
      <c r="E1012" s="2" t="s">
        <v>15</v>
      </c>
      <c r="F1012" s="3">
        <v>0.85</v>
      </c>
      <c r="H1012" s="1" t="s">
        <v>66</v>
      </c>
      <c r="I1012" t="s">
        <v>67</v>
      </c>
      <c r="J1012" t="s">
        <v>271</v>
      </c>
      <c r="K1012" t="s">
        <v>272</v>
      </c>
      <c r="L1012" t="s">
        <v>273</v>
      </c>
    </row>
    <row r="1013" spans="1:12" ht="15">
      <c r="A1013" s="4">
        <v>201404</v>
      </c>
      <c r="B1013" t="s">
        <v>270</v>
      </c>
      <c r="C1013" s="5">
        <v>6534395</v>
      </c>
      <c r="D1013" s="2" t="s">
        <v>710</v>
      </c>
      <c r="E1013" s="2" t="s">
        <v>15</v>
      </c>
      <c r="F1013" s="3">
        <v>0</v>
      </c>
      <c r="H1013" s="1" t="s">
        <v>68</v>
      </c>
      <c r="J1013" t="s">
        <v>271</v>
      </c>
      <c r="K1013" t="s">
        <v>272</v>
      </c>
      <c r="L1013" t="s">
        <v>273</v>
      </c>
    </row>
    <row r="1014" spans="1:12" ht="15">
      <c r="A1014" s="4">
        <v>201404</v>
      </c>
      <c r="B1014" t="s">
        <v>270</v>
      </c>
      <c r="C1014" s="5">
        <v>6534395</v>
      </c>
      <c r="D1014" s="2" t="s">
        <v>710</v>
      </c>
      <c r="E1014" s="2" t="s">
        <v>15</v>
      </c>
      <c r="F1014" s="3">
        <v>6</v>
      </c>
      <c r="H1014" s="1" t="s">
        <v>68</v>
      </c>
      <c r="J1014" t="s">
        <v>271</v>
      </c>
      <c r="K1014" t="s">
        <v>272</v>
      </c>
      <c r="L1014" t="s">
        <v>273</v>
      </c>
    </row>
    <row r="1015" spans="1:12" ht="15">
      <c r="A1015" s="4">
        <v>201404</v>
      </c>
      <c r="B1015" t="s">
        <v>270</v>
      </c>
      <c r="C1015" s="5">
        <v>6534396</v>
      </c>
      <c r="D1015" s="2" t="s">
        <v>712</v>
      </c>
      <c r="E1015" s="2" t="s">
        <v>15</v>
      </c>
      <c r="F1015" s="3">
        <v>30128</v>
      </c>
      <c r="H1015" s="1" t="s">
        <v>60</v>
      </c>
      <c r="I1015" t="s">
        <v>711</v>
      </c>
      <c r="J1015" t="s">
        <v>271</v>
      </c>
      <c r="K1015" t="s">
        <v>272</v>
      </c>
      <c r="L1015" t="s">
        <v>273</v>
      </c>
    </row>
    <row r="1016" spans="1:12" ht="15">
      <c r="A1016" s="4">
        <v>201405</v>
      </c>
      <c r="B1016" t="s">
        <v>270</v>
      </c>
      <c r="C1016" s="5">
        <v>6534396</v>
      </c>
      <c r="D1016" s="2" t="s">
        <v>712</v>
      </c>
      <c r="E1016" s="2" t="s">
        <v>15</v>
      </c>
      <c r="F1016" s="3">
        <v>-30128</v>
      </c>
      <c r="H1016" s="1" t="s">
        <v>60</v>
      </c>
      <c r="I1016" t="s">
        <v>711</v>
      </c>
      <c r="J1016" t="s">
        <v>271</v>
      </c>
      <c r="K1016" t="s">
        <v>272</v>
      </c>
      <c r="L1016" t="s">
        <v>273</v>
      </c>
    </row>
    <row r="1017" spans="1:13" ht="15">
      <c r="A1017" s="4">
        <v>201405</v>
      </c>
      <c r="B1017" t="s">
        <v>270</v>
      </c>
      <c r="C1017" s="5">
        <v>6534396</v>
      </c>
      <c r="D1017" s="2" t="s">
        <v>712</v>
      </c>
      <c r="E1017" s="2" t="s">
        <v>15</v>
      </c>
      <c r="F1017" s="3">
        <v>63</v>
      </c>
      <c r="G1017" t="s">
        <v>294</v>
      </c>
      <c r="H1017" s="1" t="s">
        <v>60</v>
      </c>
      <c r="I1017" t="e">
        <f>-Crating FOR Shipping</f>
        <v>#NAME?</v>
      </c>
      <c r="J1017" t="s">
        <v>271</v>
      </c>
      <c r="K1017" t="s">
        <v>272</v>
      </c>
      <c r="L1017" t="s">
        <v>273</v>
      </c>
      <c r="M1017">
        <v>900875</v>
      </c>
    </row>
    <row r="1018" spans="1:14" ht="15">
      <c r="A1018" s="4">
        <v>201405</v>
      </c>
      <c r="B1018" t="s">
        <v>270</v>
      </c>
      <c r="C1018" s="5">
        <v>6534396</v>
      </c>
      <c r="D1018" s="2" t="s">
        <v>712</v>
      </c>
      <c r="E1018" s="2" t="s">
        <v>15</v>
      </c>
      <c r="F1018" s="3">
        <v>1811.46</v>
      </c>
      <c r="G1018" t="s">
        <v>57</v>
      </c>
      <c r="H1018" s="1" t="s">
        <v>60</v>
      </c>
      <c r="I1018">
        <f>-18016/818125/1</f>
        <v>-0.022021084797555386</v>
      </c>
      <c r="J1018" t="s">
        <v>271</v>
      </c>
      <c r="K1018" t="s">
        <v>272</v>
      </c>
      <c r="L1018" t="s">
        <v>273</v>
      </c>
      <c r="N1018" t="s">
        <v>58</v>
      </c>
    </row>
    <row r="1019" spans="1:13" ht="15">
      <c r="A1019" s="4">
        <v>201405</v>
      </c>
      <c r="B1019" t="s">
        <v>270</v>
      </c>
      <c r="C1019" s="5">
        <v>6534396</v>
      </c>
      <c r="D1019" s="2" t="s">
        <v>712</v>
      </c>
      <c r="E1019" s="2" t="s">
        <v>15</v>
      </c>
      <c r="F1019" s="3">
        <v>30128</v>
      </c>
      <c r="G1019" t="s">
        <v>294</v>
      </c>
      <c r="H1019" s="1" t="s">
        <v>60</v>
      </c>
      <c r="I1019" t="s">
        <v>713</v>
      </c>
      <c r="J1019" t="s">
        <v>271</v>
      </c>
      <c r="K1019" t="s">
        <v>272</v>
      </c>
      <c r="L1019" t="s">
        <v>273</v>
      </c>
      <c r="M1019">
        <v>900875</v>
      </c>
    </row>
    <row r="1020" spans="1:12" ht="15">
      <c r="A1020" s="4">
        <v>201404</v>
      </c>
      <c r="B1020" t="s">
        <v>270</v>
      </c>
      <c r="C1020" s="5">
        <v>6534396</v>
      </c>
      <c r="D1020" s="2" t="s">
        <v>712</v>
      </c>
      <c r="E1020" s="2" t="s">
        <v>15</v>
      </c>
      <c r="F1020" s="3">
        <v>0.76</v>
      </c>
      <c r="H1020" s="1" t="s">
        <v>66</v>
      </c>
      <c r="I1020" t="s">
        <v>67</v>
      </c>
      <c r="J1020" t="s">
        <v>271</v>
      </c>
      <c r="K1020" t="s">
        <v>272</v>
      </c>
      <c r="L1020" t="s">
        <v>273</v>
      </c>
    </row>
    <row r="1021" spans="1:12" ht="15">
      <c r="A1021" s="4">
        <v>201405</v>
      </c>
      <c r="B1021" t="s">
        <v>270</v>
      </c>
      <c r="C1021" s="5">
        <v>6534396</v>
      </c>
      <c r="D1021" s="2" t="s">
        <v>712</v>
      </c>
      <c r="E1021" s="2" t="s">
        <v>15</v>
      </c>
      <c r="F1021" s="3">
        <v>0.8</v>
      </c>
      <c r="H1021" s="1" t="s">
        <v>66</v>
      </c>
      <c r="I1021" t="s">
        <v>67</v>
      </c>
      <c r="J1021" t="s">
        <v>271</v>
      </c>
      <c r="K1021" t="s">
        <v>272</v>
      </c>
      <c r="L1021" t="s">
        <v>273</v>
      </c>
    </row>
    <row r="1022" spans="1:14" ht="15">
      <c r="A1022" s="4">
        <v>201405</v>
      </c>
      <c r="B1022" t="s">
        <v>270</v>
      </c>
      <c r="C1022" s="5">
        <v>6534396</v>
      </c>
      <c r="D1022" s="2" t="s">
        <v>712</v>
      </c>
      <c r="E1022" s="2" t="s">
        <v>15</v>
      </c>
      <c r="F1022" s="3">
        <v>94.4</v>
      </c>
      <c r="G1022" t="s">
        <v>57</v>
      </c>
      <c r="H1022" s="1" t="s">
        <v>69</v>
      </c>
      <c r="I1022">
        <f>-18016/818125/1</f>
        <v>-0.022021084797555386</v>
      </c>
      <c r="J1022" t="s">
        <v>271</v>
      </c>
      <c r="K1022" t="s">
        <v>272</v>
      </c>
      <c r="L1022" t="s">
        <v>273</v>
      </c>
      <c r="N1022" t="s">
        <v>58</v>
      </c>
    </row>
    <row r="1023" spans="1:12" ht="15">
      <c r="A1023" s="4">
        <v>201405</v>
      </c>
      <c r="B1023" t="s">
        <v>270</v>
      </c>
      <c r="C1023" s="5">
        <v>6534396</v>
      </c>
      <c r="D1023" s="2" t="s">
        <v>712</v>
      </c>
      <c r="E1023" s="2" t="s">
        <v>15</v>
      </c>
      <c r="F1023" s="3">
        <v>1573.39</v>
      </c>
      <c r="G1023" t="s">
        <v>294</v>
      </c>
      <c r="H1023" s="1" t="s">
        <v>69</v>
      </c>
      <c r="I1023" t="e">
        <f>-freight</f>
        <v>#NAME?</v>
      </c>
      <c r="J1023" t="s">
        <v>271</v>
      </c>
      <c r="K1023" t="s">
        <v>272</v>
      </c>
      <c r="L1023" t="s">
        <v>273</v>
      </c>
    </row>
    <row r="1024" spans="1:12" ht="15">
      <c r="A1024" s="4">
        <v>201402</v>
      </c>
      <c r="B1024" t="s">
        <v>270</v>
      </c>
      <c r="C1024" s="5">
        <v>6534397</v>
      </c>
      <c r="D1024" s="2" t="s">
        <v>715</v>
      </c>
      <c r="E1024" s="2" t="s">
        <v>15</v>
      </c>
      <c r="F1024" s="3">
        <v>24.7</v>
      </c>
      <c r="H1024" s="1" t="s">
        <v>14</v>
      </c>
      <c r="I1024" t="s">
        <v>714</v>
      </c>
      <c r="J1024" t="s">
        <v>271</v>
      </c>
      <c r="K1024" t="s">
        <v>272</v>
      </c>
      <c r="L1024" t="s">
        <v>273</v>
      </c>
    </row>
    <row r="1025" spans="1:12" ht="15">
      <c r="A1025" s="4">
        <v>201404</v>
      </c>
      <c r="B1025" t="s">
        <v>270</v>
      </c>
      <c r="C1025" s="5">
        <v>6534397</v>
      </c>
      <c r="D1025" s="2" t="s">
        <v>715</v>
      </c>
      <c r="E1025" s="2" t="s">
        <v>15</v>
      </c>
      <c r="F1025" s="3">
        <v>277.49</v>
      </c>
      <c r="H1025" s="1" t="s">
        <v>14</v>
      </c>
      <c r="I1025" t="s">
        <v>714</v>
      </c>
      <c r="J1025" t="s">
        <v>271</v>
      </c>
      <c r="K1025" t="s">
        <v>272</v>
      </c>
      <c r="L1025" t="s">
        <v>273</v>
      </c>
    </row>
    <row r="1026" spans="1:12" ht="15">
      <c r="A1026" s="4">
        <v>201404</v>
      </c>
      <c r="B1026" t="s">
        <v>270</v>
      </c>
      <c r="C1026" s="5">
        <v>6534397</v>
      </c>
      <c r="D1026" s="2" t="s">
        <v>715</v>
      </c>
      <c r="E1026" s="2" t="s">
        <v>15</v>
      </c>
      <c r="F1026" s="3">
        <v>11.5</v>
      </c>
      <c r="G1026" t="s">
        <v>64</v>
      </c>
      <c r="H1026" s="1" t="s">
        <v>60</v>
      </c>
      <c r="I1026" t="e">
        <f>-Shipping and handling</f>
        <v>#NAME?</v>
      </c>
      <c r="J1026" t="s">
        <v>271</v>
      </c>
      <c r="K1026" t="s">
        <v>272</v>
      </c>
      <c r="L1026" t="s">
        <v>273</v>
      </c>
    </row>
    <row r="1027" spans="1:14" ht="15">
      <c r="A1027" s="4">
        <v>201404</v>
      </c>
      <c r="B1027" t="s">
        <v>270</v>
      </c>
      <c r="C1027" s="5">
        <v>6534397</v>
      </c>
      <c r="D1027" s="2" t="s">
        <v>715</v>
      </c>
      <c r="E1027" s="2" t="s">
        <v>15</v>
      </c>
      <c r="F1027" s="3">
        <v>19.38</v>
      </c>
      <c r="G1027" t="s">
        <v>57</v>
      </c>
      <c r="H1027" s="1" t="s">
        <v>60</v>
      </c>
      <c r="I1027">
        <f>-40906/1404554675/1</f>
        <v>-2.9123821755105405E-05</v>
      </c>
      <c r="J1027" t="s">
        <v>271</v>
      </c>
      <c r="K1027" t="s">
        <v>272</v>
      </c>
      <c r="L1027" t="s">
        <v>273</v>
      </c>
      <c r="N1027" t="s">
        <v>58</v>
      </c>
    </row>
    <row r="1028" spans="1:14" ht="15">
      <c r="A1028" s="4">
        <v>201404</v>
      </c>
      <c r="B1028" t="s">
        <v>270</v>
      </c>
      <c r="C1028" s="5">
        <v>6534397</v>
      </c>
      <c r="D1028" s="2" t="s">
        <v>715</v>
      </c>
      <c r="E1028" s="2" t="s">
        <v>15</v>
      </c>
      <c r="F1028" s="3">
        <v>49.68</v>
      </c>
      <c r="G1028" t="s">
        <v>57</v>
      </c>
      <c r="H1028" s="1" t="s">
        <v>60</v>
      </c>
      <c r="I1028" t="e">
        <f>-18362/s107374932.001/1</f>
        <v>#NAME?</v>
      </c>
      <c r="J1028" t="s">
        <v>271</v>
      </c>
      <c r="K1028" t="s">
        <v>272</v>
      </c>
      <c r="L1028" t="s">
        <v>273</v>
      </c>
      <c r="N1028" t="s">
        <v>58</v>
      </c>
    </row>
    <row r="1029" spans="1:13" ht="15">
      <c r="A1029" s="4">
        <v>201404</v>
      </c>
      <c r="B1029" t="s">
        <v>270</v>
      </c>
      <c r="C1029" s="5">
        <v>6534397</v>
      </c>
      <c r="D1029" s="2" t="s">
        <v>715</v>
      </c>
      <c r="E1029" s="2" t="s">
        <v>15</v>
      </c>
      <c r="F1029" s="3">
        <v>321.38</v>
      </c>
      <c r="G1029" t="s">
        <v>59</v>
      </c>
      <c r="H1029" s="1" t="s">
        <v>60</v>
      </c>
      <c r="I1029" t="s">
        <v>716</v>
      </c>
      <c r="J1029" t="s">
        <v>271</v>
      </c>
      <c r="K1029" t="s">
        <v>272</v>
      </c>
      <c r="L1029" t="s">
        <v>273</v>
      </c>
      <c r="M1029">
        <v>902469</v>
      </c>
    </row>
    <row r="1030" spans="1:13" ht="15">
      <c r="A1030" s="4">
        <v>201404</v>
      </c>
      <c r="B1030" t="s">
        <v>270</v>
      </c>
      <c r="C1030" s="5">
        <v>6534397</v>
      </c>
      <c r="D1030" s="2" t="s">
        <v>715</v>
      </c>
      <c r="E1030" s="2" t="s">
        <v>15</v>
      </c>
      <c r="F1030" s="3">
        <v>819.83</v>
      </c>
      <c r="G1030" t="s">
        <v>64</v>
      </c>
      <c r="H1030" s="1" t="s">
        <v>60</v>
      </c>
      <c r="I1030" t="s">
        <v>717</v>
      </c>
      <c r="J1030" t="s">
        <v>271</v>
      </c>
      <c r="K1030" t="s">
        <v>272</v>
      </c>
      <c r="L1030" t="s">
        <v>273</v>
      </c>
      <c r="M1030">
        <v>902281</v>
      </c>
    </row>
    <row r="1031" spans="1:14" ht="15">
      <c r="A1031" s="4">
        <v>201405</v>
      </c>
      <c r="B1031" t="s">
        <v>270</v>
      </c>
      <c r="C1031" s="5">
        <v>6534397</v>
      </c>
      <c r="D1031" s="2" t="s">
        <v>715</v>
      </c>
      <c r="E1031" s="2" t="s">
        <v>15</v>
      </c>
      <c r="F1031" s="3">
        <v>8.98</v>
      </c>
      <c r="G1031" t="s">
        <v>57</v>
      </c>
      <c r="H1031" s="1" t="s">
        <v>60</v>
      </c>
      <c r="I1031" t="e">
        <f>-18362/S107398526.001/1</f>
        <v>#NAME?</v>
      </c>
      <c r="J1031" t="s">
        <v>271</v>
      </c>
      <c r="K1031" t="s">
        <v>272</v>
      </c>
      <c r="L1031" t="s">
        <v>273</v>
      </c>
      <c r="N1031" t="s">
        <v>58</v>
      </c>
    </row>
    <row r="1032" spans="1:13" ht="15">
      <c r="A1032" s="4">
        <v>201405</v>
      </c>
      <c r="B1032" t="s">
        <v>270</v>
      </c>
      <c r="C1032" s="5">
        <v>6534397</v>
      </c>
      <c r="D1032" s="2" t="s">
        <v>715</v>
      </c>
      <c r="E1032" s="2" t="s">
        <v>15</v>
      </c>
      <c r="F1032" s="3">
        <v>148.2</v>
      </c>
      <c r="G1032" t="s">
        <v>64</v>
      </c>
      <c r="H1032" s="1" t="s">
        <v>60</v>
      </c>
      <c r="I1032" t="s">
        <v>718</v>
      </c>
      <c r="J1032" t="s">
        <v>271</v>
      </c>
      <c r="K1032" t="s">
        <v>272</v>
      </c>
      <c r="L1032" t="s">
        <v>273</v>
      </c>
      <c r="M1032">
        <v>902468</v>
      </c>
    </row>
    <row r="1033" spans="1:12" ht="15">
      <c r="A1033" s="4">
        <v>201404</v>
      </c>
      <c r="B1033" t="s">
        <v>270</v>
      </c>
      <c r="C1033" s="5">
        <v>6534397</v>
      </c>
      <c r="D1033" s="2" t="s">
        <v>715</v>
      </c>
      <c r="E1033" s="2" t="s">
        <v>15</v>
      </c>
      <c r="F1033" s="3">
        <v>0</v>
      </c>
      <c r="H1033" s="1" t="s">
        <v>68</v>
      </c>
      <c r="J1033" t="s">
        <v>271</v>
      </c>
      <c r="K1033" t="s">
        <v>272</v>
      </c>
      <c r="L1033" t="s">
        <v>273</v>
      </c>
    </row>
    <row r="1034" spans="1:12" ht="15">
      <c r="A1034" s="4">
        <v>201404</v>
      </c>
      <c r="B1034" t="s">
        <v>270</v>
      </c>
      <c r="C1034" s="5">
        <v>6534397</v>
      </c>
      <c r="D1034" s="2" t="s">
        <v>715</v>
      </c>
      <c r="E1034" s="2" t="s">
        <v>15</v>
      </c>
      <c r="F1034" s="3">
        <v>6</v>
      </c>
      <c r="H1034" s="1" t="s">
        <v>68</v>
      </c>
      <c r="J1034" t="s">
        <v>271</v>
      </c>
      <c r="K1034" t="s">
        <v>272</v>
      </c>
      <c r="L1034" t="s">
        <v>273</v>
      </c>
    </row>
    <row r="1035" spans="1:12" ht="15">
      <c r="A1035" s="4">
        <v>201403</v>
      </c>
      <c r="B1035" t="s">
        <v>270</v>
      </c>
      <c r="C1035" s="5">
        <v>6534745</v>
      </c>
      <c r="D1035" s="2" t="s">
        <v>719</v>
      </c>
      <c r="E1035" s="2" t="s">
        <v>15</v>
      </c>
      <c r="F1035" s="3">
        <v>7.75</v>
      </c>
      <c r="H1035" s="1" t="s">
        <v>14</v>
      </c>
      <c r="I1035" t="s">
        <v>36</v>
      </c>
      <c r="J1035" t="s">
        <v>271</v>
      </c>
      <c r="K1035" t="s">
        <v>272</v>
      </c>
      <c r="L1035" t="s">
        <v>273</v>
      </c>
    </row>
    <row r="1036" spans="1:12" ht="15">
      <c r="A1036" s="4">
        <v>201403</v>
      </c>
      <c r="B1036" t="s">
        <v>270</v>
      </c>
      <c r="C1036" s="5">
        <v>6534745</v>
      </c>
      <c r="D1036" s="2" t="s">
        <v>719</v>
      </c>
      <c r="E1036" s="2" t="s">
        <v>15</v>
      </c>
      <c r="F1036" s="3">
        <v>47.26</v>
      </c>
      <c r="H1036" s="1" t="s">
        <v>14</v>
      </c>
      <c r="I1036" t="s">
        <v>108</v>
      </c>
      <c r="J1036" t="s">
        <v>271</v>
      </c>
      <c r="K1036" t="s">
        <v>272</v>
      </c>
      <c r="L1036" t="s">
        <v>273</v>
      </c>
    </row>
    <row r="1037" spans="1:12" ht="15">
      <c r="A1037" s="4">
        <v>201403</v>
      </c>
      <c r="B1037" t="s">
        <v>270</v>
      </c>
      <c r="C1037" s="5">
        <v>6534745</v>
      </c>
      <c r="D1037" s="2" t="s">
        <v>719</v>
      </c>
      <c r="E1037" s="2" t="s">
        <v>15</v>
      </c>
      <c r="F1037" s="3">
        <v>68.67</v>
      </c>
      <c r="H1037" s="1" t="s">
        <v>14</v>
      </c>
      <c r="I1037" t="s">
        <v>89</v>
      </c>
      <c r="J1037" t="s">
        <v>271</v>
      </c>
      <c r="K1037" t="s">
        <v>272</v>
      </c>
      <c r="L1037" t="s">
        <v>273</v>
      </c>
    </row>
    <row r="1038" spans="1:14" ht="15">
      <c r="A1038" s="4">
        <v>201404</v>
      </c>
      <c r="B1038" t="s">
        <v>270</v>
      </c>
      <c r="C1038" s="5">
        <v>6534745</v>
      </c>
      <c r="D1038" s="2" t="s">
        <v>719</v>
      </c>
      <c r="E1038" s="2" t="s">
        <v>15</v>
      </c>
      <c r="F1038" s="3">
        <v>362.34</v>
      </c>
      <c r="G1038" t="s">
        <v>57</v>
      </c>
      <c r="H1038" s="1" t="s">
        <v>60</v>
      </c>
      <c r="I1038" t="s">
        <v>720</v>
      </c>
      <c r="J1038" t="s">
        <v>271</v>
      </c>
      <c r="K1038" t="s">
        <v>272</v>
      </c>
      <c r="L1038" t="s">
        <v>273</v>
      </c>
      <c r="N1038" t="s">
        <v>58</v>
      </c>
    </row>
    <row r="1039" spans="1:13" ht="15">
      <c r="A1039" s="4">
        <v>201404</v>
      </c>
      <c r="B1039" t="s">
        <v>270</v>
      </c>
      <c r="C1039" s="5">
        <v>6534745</v>
      </c>
      <c r="D1039" s="2" t="s">
        <v>719</v>
      </c>
      <c r="E1039" s="2" t="s">
        <v>15</v>
      </c>
      <c r="F1039" s="3">
        <v>6039</v>
      </c>
      <c r="G1039" t="s">
        <v>721</v>
      </c>
      <c r="H1039" s="1" t="s">
        <v>60</v>
      </c>
      <c r="I1039" t="s">
        <v>722</v>
      </c>
      <c r="J1039" t="s">
        <v>271</v>
      </c>
      <c r="K1039" t="s">
        <v>272</v>
      </c>
      <c r="L1039" t="s">
        <v>273</v>
      </c>
      <c r="M1039">
        <v>902467</v>
      </c>
    </row>
    <row r="1040" spans="1:12" ht="15">
      <c r="A1040" s="4">
        <v>201403</v>
      </c>
      <c r="B1040" t="s">
        <v>270</v>
      </c>
      <c r="C1040" s="5">
        <v>6534745</v>
      </c>
      <c r="D1040" s="2" t="s">
        <v>719</v>
      </c>
      <c r="E1040" s="2" t="s">
        <v>15</v>
      </c>
      <c r="F1040" s="3">
        <v>1.82</v>
      </c>
      <c r="H1040" s="1" t="s">
        <v>66</v>
      </c>
      <c r="I1040" t="s">
        <v>67</v>
      </c>
      <c r="J1040" t="s">
        <v>271</v>
      </c>
      <c r="K1040" t="s">
        <v>272</v>
      </c>
      <c r="L1040" t="s">
        <v>273</v>
      </c>
    </row>
    <row r="1041" spans="1:14" ht="15">
      <c r="A1041" s="4">
        <v>201404</v>
      </c>
      <c r="B1041" t="s">
        <v>270</v>
      </c>
      <c r="C1041" s="5">
        <v>6534745</v>
      </c>
      <c r="D1041" s="2" t="s">
        <v>719</v>
      </c>
      <c r="E1041" s="2" t="s">
        <v>15</v>
      </c>
      <c r="F1041" s="3">
        <v>7.56</v>
      </c>
      <c r="G1041" t="s">
        <v>57</v>
      </c>
      <c r="H1041" s="1" t="s">
        <v>69</v>
      </c>
      <c r="I1041" t="s">
        <v>720</v>
      </c>
      <c r="J1041" t="s">
        <v>271</v>
      </c>
      <c r="K1041" t="s">
        <v>272</v>
      </c>
      <c r="L1041" t="s">
        <v>273</v>
      </c>
      <c r="N1041" t="s">
        <v>58</v>
      </c>
    </row>
    <row r="1042" spans="1:12" ht="15">
      <c r="A1042" s="4">
        <v>201404</v>
      </c>
      <c r="B1042" t="s">
        <v>270</v>
      </c>
      <c r="C1042" s="5">
        <v>6534745</v>
      </c>
      <c r="D1042" s="2" t="s">
        <v>719</v>
      </c>
      <c r="E1042" s="2" t="s">
        <v>15</v>
      </c>
      <c r="F1042" s="3">
        <v>126.03</v>
      </c>
      <c r="G1042" t="s">
        <v>721</v>
      </c>
      <c r="H1042" s="1" t="s">
        <v>69</v>
      </c>
      <c r="I1042" t="e">
        <f>-freight</f>
        <v>#NAME?</v>
      </c>
      <c r="J1042" t="s">
        <v>271</v>
      </c>
      <c r="K1042" t="s">
        <v>272</v>
      </c>
      <c r="L1042" t="s">
        <v>273</v>
      </c>
    </row>
    <row r="1043" spans="1:13" ht="15">
      <c r="A1043" s="4">
        <v>201405</v>
      </c>
      <c r="B1043" t="s">
        <v>270</v>
      </c>
      <c r="C1043" s="5">
        <v>6535456</v>
      </c>
      <c r="D1043" s="2" t="s">
        <v>724</v>
      </c>
      <c r="E1043" s="2" t="s">
        <v>15</v>
      </c>
      <c r="F1043" s="3">
        <v>7697.38</v>
      </c>
      <c r="G1043" t="s">
        <v>72</v>
      </c>
      <c r="H1043" s="1" t="s">
        <v>44</v>
      </c>
      <c r="I1043" t="s">
        <v>723</v>
      </c>
      <c r="J1043" t="s">
        <v>271</v>
      </c>
      <c r="K1043" t="s">
        <v>272</v>
      </c>
      <c r="L1043" t="s">
        <v>273</v>
      </c>
      <c r="M1043">
        <v>902442</v>
      </c>
    </row>
    <row r="1044" spans="1:13" ht="15">
      <c r="A1044" s="4">
        <v>201405</v>
      </c>
      <c r="B1044" t="s">
        <v>270</v>
      </c>
      <c r="C1044" s="5">
        <v>6535456</v>
      </c>
      <c r="D1044" s="2" t="s">
        <v>724</v>
      </c>
      <c r="E1044" s="2" t="s">
        <v>15</v>
      </c>
      <c r="F1044" s="3">
        <v>1659.2</v>
      </c>
      <c r="G1044" t="s">
        <v>73</v>
      </c>
      <c r="H1044" s="1" t="s">
        <v>46</v>
      </c>
      <c r="I1044" t="s">
        <v>95</v>
      </c>
      <c r="J1044" t="s">
        <v>271</v>
      </c>
      <c r="K1044" t="s">
        <v>272</v>
      </c>
      <c r="L1044" t="s">
        <v>273</v>
      </c>
      <c r="M1044">
        <v>904872</v>
      </c>
    </row>
    <row r="1045" spans="1:13" ht="15">
      <c r="A1045" s="4">
        <v>201407</v>
      </c>
      <c r="B1045" t="s">
        <v>270</v>
      </c>
      <c r="C1045" s="5">
        <v>6535456</v>
      </c>
      <c r="D1045" s="2" t="s">
        <v>724</v>
      </c>
      <c r="E1045" s="2" t="s">
        <v>15</v>
      </c>
      <c r="F1045" s="3">
        <v>1097.39</v>
      </c>
      <c r="G1045" t="s">
        <v>73</v>
      </c>
      <c r="H1045" s="1" t="s">
        <v>46</v>
      </c>
      <c r="I1045" t="s">
        <v>75</v>
      </c>
      <c r="J1045" t="s">
        <v>271</v>
      </c>
      <c r="K1045" t="s">
        <v>272</v>
      </c>
      <c r="L1045" t="s">
        <v>273</v>
      </c>
      <c r="M1045">
        <v>908282</v>
      </c>
    </row>
    <row r="1046" spans="1:12" ht="15">
      <c r="A1046" s="4">
        <v>201403</v>
      </c>
      <c r="B1046" t="s">
        <v>270</v>
      </c>
      <c r="C1046" s="5">
        <v>6535456</v>
      </c>
      <c r="D1046" s="2" t="s">
        <v>724</v>
      </c>
      <c r="E1046" s="2" t="s">
        <v>15</v>
      </c>
      <c r="F1046" s="3">
        <v>8496</v>
      </c>
      <c r="H1046" s="1" t="s">
        <v>60</v>
      </c>
      <c r="I1046" t="s">
        <v>725</v>
      </c>
      <c r="J1046" t="s">
        <v>271</v>
      </c>
      <c r="K1046" t="s">
        <v>272</v>
      </c>
      <c r="L1046" t="s">
        <v>273</v>
      </c>
    </row>
    <row r="1047" spans="1:12" ht="15">
      <c r="A1047" s="4">
        <v>201404</v>
      </c>
      <c r="B1047" t="s">
        <v>270</v>
      </c>
      <c r="C1047" s="5">
        <v>6535456</v>
      </c>
      <c r="D1047" s="2" t="s">
        <v>724</v>
      </c>
      <c r="E1047" s="2" t="s">
        <v>15</v>
      </c>
      <c r="F1047" s="3">
        <v>-8496</v>
      </c>
      <c r="H1047" s="1" t="s">
        <v>60</v>
      </c>
      <c r="I1047" t="s">
        <v>725</v>
      </c>
      <c r="J1047" t="s">
        <v>271</v>
      </c>
      <c r="K1047" t="s">
        <v>272</v>
      </c>
      <c r="L1047" t="s">
        <v>273</v>
      </c>
    </row>
    <row r="1048" spans="1:14" ht="15">
      <c r="A1048" s="4">
        <v>201404</v>
      </c>
      <c r="B1048" t="s">
        <v>270</v>
      </c>
      <c r="C1048" s="5">
        <v>6535456</v>
      </c>
      <c r="D1048" s="2" t="s">
        <v>724</v>
      </c>
      <c r="E1048" s="2" t="s">
        <v>15</v>
      </c>
      <c r="F1048" s="3">
        <v>-546.05</v>
      </c>
      <c r="G1048" t="s">
        <v>57</v>
      </c>
      <c r="H1048" s="1" t="s">
        <v>60</v>
      </c>
      <c r="I1048">
        <f>-30070/95082023/2</f>
        <v>-0.00015812663136121957</v>
      </c>
      <c r="J1048" t="s">
        <v>271</v>
      </c>
      <c r="K1048" t="s">
        <v>272</v>
      </c>
      <c r="L1048" t="s">
        <v>273</v>
      </c>
      <c r="N1048" t="s">
        <v>58</v>
      </c>
    </row>
    <row r="1049" spans="1:13" ht="15">
      <c r="A1049" s="4">
        <v>201404</v>
      </c>
      <c r="B1049" t="s">
        <v>270</v>
      </c>
      <c r="C1049" s="5">
        <v>6535456</v>
      </c>
      <c r="D1049" s="2" t="s">
        <v>724</v>
      </c>
      <c r="E1049" s="2" t="s">
        <v>15</v>
      </c>
      <c r="F1049" s="3">
        <v>0</v>
      </c>
      <c r="G1049" t="s">
        <v>726</v>
      </c>
      <c r="H1049" s="1" t="s">
        <v>60</v>
      </c>
      <c r="I1049" t="s">
        <v>727</v>
      </c>
      <c r="J1049" t="s">
        <v>271</v>
      </c>
      <c r="K1049" t="s">
        <v>272</v>
      </c>
      <c r="L1049" t="s">
        <v>273</v>
      </c>
      <c r="M1049">
        <v>901054</v>
      </c>
    </row>
    <row r="1050" spans="1:13" ht="15">
      <c r="A1050" s="4">
        <v>201404</v>
      </c>
      <c r="B1050" t="s">
        <v>270</v>
      </c>
      <c r="C1050" s="5">
        <v>6535456</v>
      </c>
      <c r="D1050" s="2" t="s">
        <v>724</v>
      </c>
      <c r="E1050" s="2" t="s">
        <v>15</v>
      </c>
      <c r="F1050" s="3">
        <v>0</v>
      </c>
      <c r="G1050" t="s">
        <v>726</v>
      </c>
      <c r="H1050" s="1" t="s">
        <v>60</v>
      </c>
      <c r="I1050" t="s">
        <v>728</v>
      </c>
      <c r="J1050" t="s">
        <v>271</v>
      </c>
      <c r="K1050" t="s">
        <v>272</v>
      </c>
      <c r="L1050" t="s">
        <v>273</v>
      </c>
      <c r="M1050">
        <v>901054</v>
      </c>
    </row>
    <row r="1051" spans="1:13" ht="15">
      <c r="A1051" s="4">
        <v>201404</v>
      </c>
      <c r="B1051" t="s">
        <v>270</v>
      </c>
      <c r="C1051" s="5">
        <v>6535456</v>
      </c>
      <c r="D1051" s="2" t="s">
        <v>724</v>
      </c>
      <c r="E1051" s="2" t="s">
        <v>15</v>
      </c>
      <c r="F1051" s="3">
        <v>0</v>
      </c>
      <c r="G1051" t="s">
        <v>726</v>
      </c>
      <c r="H1051" s="1" t="s">
        <v>60</v>
      </c>
      <c r="I1051" t="s">
        <v>729</v>
      </c>
      <c r="J1051" t="s">
        <v>271</v>
      </c>
      <c r="K1051" t="s">
        <v>272</v>
      </c>
      <c r="L1051" t="s">
        <v>273</v>
      </c>
      <c r="M1051">
        <v>901054</v>
      </c>
    </row>
    <row r="1052" spans="1:13" ht="15">
      <c r="A1052" s="4">
        <v>201404</v>
      </c>
      <c r="B1052" t="s">
        <v>270</v>
      </c>
      <c r="C1052" s="5">
        <v>6535456</v>
      </c>
      <c r="D1052" s="2" t="s">
        <v>724</v>
      </c>
      <c r="E1052" s="2" t="s">
        <v>15</v>
      </c>
      <c r="F1052" s="3">
        <v>0</v>
      </c>
      <c r="G1052" t="s">
        <v>726</v>
      </c>
      <c r="H1052" s="1" t="s">
        <v>60</v>
      </c>
      <c r="I1052" t="s">
        <v>730</v>
      </c>
      <c r="J1052" t="s">
        <v>271</v>
      </c>
      <c r="K1052" t="s">
        <v>272</v>
      </c>
      <c r="L1052" t="s">
        <v>273</v>
      </c>
      <c r="M1052">
        <v>901054</v>
      </c>
    </row>
    <row r="1053" spans="1:13" ht="15">
      <c r="A1053" s="4">
        <v>201404</v>
      </c>
      <c r="B1053" t="s">
        <v>270</v>
      </c>
      <c r="C1053" s="5">
        <v>6535456</v>
      </c>
      <c r="D1053" s="2" t="s">
        <v>724</v>
      </c>
      <c r="E1053" s="2" t="s">
        <v>15</v>
      </c>
      <c r="F1053" s="3">
        <v>0</v>
      </c>
      <c r="G1053" t="s">
        <v>726</v>
      </c>
      <c r="H1053" s="1" t="s">
        <v>60</v>
      </c>
      <c r="I1053" t="s">
        <v>731</v>
      </c>
      <c r="J1053" t="s">
        <v>271</v>
      </c>
      <c r="K1053" t="s">
        <v>272</v>
      </c>
      <c r="L1053" t="s">
        <v>273</v>
      </c>
      <c r="M1053">
        <v>901054</v>
      </c>
    </row>
    <row r="1054" spans="1:13" ht="15">
      <c r="A1054" s="4">
        <v>201404</v>
      </c>
      <c r="B1054" t="s">
        <v>270</v>
      </c>
      <c r="C1054" s="5">
        <v>6535456</v>
      </c>
      <c r="D1054" s="2" t="s">
        <v>724</v>
      </c>
      <c r="E1054" s="2" t="s">
        <v>15</v>
      </c>
      <c r="F1054" s="3">
        <v>0</v>
      </c>
      <c r="G1054" t="s">
        <v>726</v>
      </c>
      <c r="H1054" s="1" t="s">
        <v>60</v>
      </c>
      <c r="I1054" t="s">
        <v>732</v>
      </c>
      <c r="J1054" t="s">
        <v>271</v>
      </c>
      <c r="K1054" t="s">
        <v>272</v>
      </c>
      <c r="L1054" t="s">
        <v>273</v>
      </c>
      <c r="M1054">
        <v>901054</v>
      </c>
    </row>
    <row r="1055" spans="1:13" ht="15">
      <c r="A1055" s="4">
        <v>201404</v>
      </c>
      <c r="B1055" t="s">
        <v>270</v>
      </c>
      <c r="C1055" s="5">
        <v>6535456</v>
      </c>
      <c r="D1055" s="2" t="s">
        <v>724</v>
      </c>
      <c r="E1055" s="2" t="s">
        <v>15</v>
      </c>
      <c r="F1055" s="3">
        <v>0</v>
      </c>
      <c r="G1055" t="s">
        <v>726</v>
      </c>
      <c r="H1055" s="1" t="s">
        <v>60</v>
      </c>
      <c r="I1055" t="s">
        <v>733</v>
      </c>
      <c r="J1055" t="s">
        <v>271</v>
      </c>
      <c r="K1055" t="s">
        <v>272</v>
      </c>
      <c r="L1055" t="s">
        <v>273</v>
      </c>
      <c r="M1055">
        <v>901054</v>
      </c>
    </row>
    <row r="1056" spans="1:13" ht="15">
      <c r="A1056" s="4">
        <v>201404</v>
      </c>
      <c r="B1056" t="s">
        <v>270</v>
      </c>
      <c r="C1056" s="5">
        <v>6535456</v>
      </c>
      <c r="D1056" s="2" t="s">
        <v>724</v>
      </c>
      <c r="E1056" s="2" t="s">
        <v>15</v>
      </c>
      <c r="F1056" s="3">
        <v>216</v>
      </c>
      <c r="G1056" t="s">
        <v>726</v>
      </c>
      <c r="H1056" s="1" t="s">
        <v>60</v>
      </c>
      <c r="I1056" t="s">
        <v>732</v>
      </c>
      <c r="J1056" t="s">
        <v>271</v>
      </c>
      <c r="K1056" t="s">
        <v>272</v>
      </c>
      <c r="L1056" t="s">
        <v>273</v>
      </c>
      <c r="M1056">
        <v>901054</v>
      </c>
    </row>
    <row r="1057" spans="1:13" ht="15">
      <c r="A1057" s="4">
        <v>201404</v>
      </c>
      <c r="B1057" t="s">
        <v>270</v>
      </c>
      <c r="C1057" s="5">
        <v>6535456</v>
      </c>
      <c r="D1057" s="2" t="s">
        <v>724</v>
      </c>
      <c r="E1057" s="2" t="s">
        <v>15</v>
      </c>
      <c r="F1057" s="3">
        <v>388.8</v>
      </c>
      <c r="G1057" t="s">
        <v>726</v>
      </c>
      <c r="H1057" s="1" t="s">
        <v>60</v>
      </c>
      <c r="I1057" t="s">
        <v>731</v>
      </c>
      <c r="J1057" t="s">
        <v>271</v>
      </c>
      <c r="K1057" t="s">
        <v>272</v>
      </c>
      <c r="L1057" t="s">
        <v>273</v>
      </c>
      <c r="M1057">
        <v>901054</v>
      </c>
    </row>
    <row r="1058" spans="1:14" ht="15">
      <c r="A1058" s="4">
        <v>201404</v>
      </c>
      <c r="B1058" t="s">
        <v>270</v>
      </c>
      <c r="C1058" s="5">
        <v>6535456</v>
      </c>
      <c r="D1058" s="2" t="s">
        <v>724</v>
      </c>
      <c r="E1058" s="2" t="s">
        <v>15</v>
      </c>
      <c r="F1058" s="3">
        <v>546.05</v>
      </c>
      <c r="G1058" t="s">
        <v>57</v>
      </c>
      <c r="H1058" s="1" t="s">
        <v>60</v>
      </c>
      <c r="I1058">
        <f>-30070/95082023/1</f>
        <v>-0.00031625326272243914</v>
      </c>
      <c r="J1058" t="s">
        <v>271</v>
      </c>
      <c r="K1058" t="s">
        <v>272</v>
      </c>
      <c r="L1058" t="s">
        <v>273</v>
      </c>
      <c r="N1058" t="s">
        <v>58</v>
      </c>
    </row>
    <row r="1059" spans="1:14" ht="15">
      <c r="A1059" s="4">
        <v>201404</v>
      </c>
      <c r="B1059" t="s">
        <v>270</v>
      </c>
      <c r="C1059" s="5">
        <v>6535456</v>
      </c>
      <c r="D1059" s="2" t="s">
        <v>724</v>
      </c>
      <c r="E1059" s="2" t="s">
        <v>15</v>
      </c>
      <c r="F1059" s="3">
        <v>546.05</v>
      </c>
      <c r="G1059" t="s">
        <v>57</v>
      </c>
      <c r="H1059" s="1" t="s">
        <v>60</v>
      </c>
      <c r="I1059">
        <f>-30070/95082026/1</f>
        <v>-0.0003162532527441096</v>
      </c>
      <c r="J1059" t="s">
        <v>271</v>
      </c>
      <c r="K1059" t="s">
        <v>272</v>
      </c>
      <c r="L1059" t="s">
        <v>273</v>
      </c>
      <c r="N1059" t="s">
        <v>58</v>
      </c>
    </row>
    <row r="1060" spans="1:13" ht="15">
      <c r="A1060" s="4">
        <v>201404</v>
      </c>
      <c r="B1060" t="s">
        <v>270</v>
      </c>
      <c r="C1060" s="5">
        <v>6535456</v>
      </c>
      <c r="D1060" s="2" t="s">
        <v>724</v>
      </c>
      <c r="E1060" s="2" t="s">
        <v>15</v>
      </c>
      <c r="F1060" s="3">
        <v>1296</v>
      </c>
      <c r="G1060" t="s">
        <v>726</v>
      </c>
      <c r="H1060" s="1" t="s">
        <v>60</v>
      </c>
      <c r="I1060" t="s">
        <v>733</v>
      </c>
      <c r="J1060" t="s">
        <v>271</v>
      </c>
      <c r="K1060" t="s">
        <v>272</v>
      </c>
      <c r="L1060" t="s">
        <v>273</v>
      </c>
      <c r="M1060">
        <v>901054</v>
      </c>
    </row>
    <row r="1061" spans="1:13" ht="15">
      <c r="A1061" s="4">
        <v>201404</v>
      </c>
      <c r="B1061" t="s">
        <v>270</v>
      </c>
      <c r="C1061" s="5">
        <v>6535456</v>
      </c>
      <c r="D1061" s="2" t="s">
        <v>724</v>
      </c>
      <c r="E1061" s="2" t="s">
        <v>15</v>
      </c>
      <c r="F1061" s="3">
        <v>1368</v>
      </c>
      <c r="G1061" t="s">
        <v>726</v>
      </c>
      <c r="H1061" s="1" t="s">
        <v>60</v>
      </c>
      <c r="I1061" t="s">
        <v>730</v>
      </c>
      <c r="J1061" t="s">
        <v>271</v>
      </c>
      <c r="K1061" t="s">
        <v>272</v>
      </c>
      <c r="L1061" t="s">
        <v>273</v>
      </c>
      <c r="M1061">
        <v>901054</v>
      </c>
    </row>
    <row r="1062" spans="1:13" ht="15">
      <c r="A1062" s="4">
        <v>201404</v>
      </c>
      <c r="B1062" t="s">
        <v>270</v>
      </c>
      <c r="C1062" s="5">
        <v>6535456</v>
      </c>
      <c r="D1062" s="2" t="s">
        <v>724</v>
      </c>
      <c r="E1062" s="2" t="s">
        <v>15</v>
      </c>
      <c r="F1062" s="3">
        <v>1548</v>
      </c>
      <c r="G1062" t="s">
        <v>726</v>
      </c>
      <c r="H1062" s="1" t="s">
        <v>60</v>
      </c>
      <c r="I1062" t="s">
        <v>727</v>
      </c>
      <c r="J1062" t="s">
        <v>271</v>
      </c>
      <c r="K1062" t="s">
        <v>272</v>
      </c>
      <c r="L1062" t="s">
        <v>273</v>
      </c>
      <c r="M1062">
        <v>901054</v>
      </c>
    </row>
    <row r="1063" spans="1:13" ht="15">
      <c r="A1063" s="4">
        <v>201404</v>
      </c>
      <c r="B1063" t="s">
        <v>270</v>
      </c>
      <c r="C1063" s="5">
        <v>6535456</v>
      </c>
      <c r="D1063" s="2" t="s">
        <v>724</v>
      </c>
      <c r="E1063" s="2" t="s">
        <v>15</v>
      </c>
      <c r="F1063" s="3">
        <v>1548</v>
      </c>
      <c r="G1063" t="s">
        <v>726</v>
      </c>
      <c r="H1063" s="1" t="s">
        <v>60</v>
      </c>
      <c r="I1063" t="s">
        <v>728</v>
      </c>
      <c r="J1063" t="s">
        <v>271</v>
      </c>
      <c r="K1063" t="s">
        <v>272</v>
      </c>
      <c r="L1063" t="s">
        <v>273</v>
      </c>
      <c r="M1063">
        <v>901054</v>
      </c>
    </row>
    <row r="1064" spans="1:13" ht="15">
      <c r="A1064" s="4">
        <v>201404</v>
      </c>
      <c r="B1064" t="s">
        <v>270</v>
      </c>
      <c r="C1064" s="5">
        <v>6535456</v>
      </c>
      <c r="D1064" s="2" t="s">
        <v>724</v>
      </c>
      <c r="E1064" s="2" t="s">
        <v>15</v>
      </c>
      <c r="F1064" s="3">
        <v>2736</v>
      </c>
      <c r="G1064" t="s">
        <v>726</v>
      </c>
      <c r="H1064" s="1" t="s">
        <v>60</v>
      </c>
      <c r="I1064" t="s">
        <v>729</v>
      </c>
      <c r="J1064" t="s">
        <v>271</v>
      </c>
      <c r="K1064" t="s">
        <v>272</v>
      </c>
      <c r="L1064" t="s">
        <v>273</v>
      </c>
      <c r="M1064">
        <v>901054</v>
      </c>
    </row>
    <row r="1065" spans="1:14" ht="15">
      <c r="A1065" s="4">
        <v>201404</v>
      </c>
      <c r="B1065" t="s">
        <v>270</v>
      </c>
      <c r="C1065" s="5">
        <v>6535456</v>
      </c>
      <c r="D1065" s="2" t="s">
        <v>724</v>
      </c>
      <c r="E1065" s="2" t="s">
        <v>15</v>
      </c>
      <c r="F1065" s="3">
        <v>10.21</v>
      </c>
      <c r="G1065" t="s">
        <v>57</v>
      </c>
      <c r="H1065" s="1" t="s">
        <v>69</v>
      </c>
      <c r="I1065">
        <f>-30070/95083023/1</f>
        <v>-0.0003162499366474707</v>
      </c>
      <c r="J1065" t="s">
        <v>271</v>
      </c>
      <c r="K1065" t="s">
        <v>272</v>
      </c>
      <c r="L1065" t="s">
        <v>273</v>
      </c>
      <c r="N1065" t="s">
        <v>58</v>
      </c>
    </row>
    <row r="1066" spans="1:12" ht="15">
      <c r="A1066" s="4">
        <v>201404</v>
      </c>
      <c r="B1066" t="s">
        <v>270</v>
      </c>
      <c r="C1066" s="5">
        <v>6535456</v>
      </c>
      <c r="D1066" s="2" t="s">
        <v>724</v>
      </c>
      <c r="E1066" s="2" t="s">
        <v>15</v>
      </c>
      <c r="F1066" s="3">
        <v>170.11</v>
      </c>
      <c r="G1066" t="s">
        <v>726</v>
      </c>
      <c r="H1066" s="1" t="s">
        <v>69</v>
      </c>
      <c r="I1066" t="s">
        <v>734</v>
      </c>
      <c r="J1066" t="s">
        <v>271</v>
      </c>
      <c r="K1066" t="s">
        <v>272</v>
      </c>
      <c r="L1066" t="s">
        <v>273</v>
      </c>
    </row>
    <row r="1067" spans="1:12" ht="15">
      <c r="A1067" s="4">
        <v>201403</v>
      </c>
      <c r="B1067" t="s">
        <v>270</v>
      </c>
      <c r="C1067" s="5">
        <v>6535458</v>
      </c>
      <c r="D1067" s="2" t="s">
        <v>736</v>
      </c>
      <c r="E1067" s="2" t="s">
        <v>15</v>
      </c>
      <c r="F1067" s="3">
        <v>631.5</v>
      </c>
      <c r="H1067" s="1" t="s">
        <v>14</v>
      </c>
      <c r="I1067" t="s">
        <v>735</v>
      </c>
      <c r="J1067" t="s">
        <v>271</v>
      </c>
      <c r="K1067" t="s">
        <v>272</v>
      </c>
      <c r="L1067" t="s">
        <v>273</v>
      </c>
    </row>
    <row r="1068" spans="1:12" ht="15">
      <c r="A1068" s="4">
        <v>201404</v>
      </c>
      <c r="B1068" t="s">
        <v>270</v>
      </c>
      <c r="C1068" s="5">
        <v>6535458</v>
      </c>
      <c r="D1068" s="2" t="s">
        <v>736</v>
      </c>
      <c r="E1068" s="2" t="s">
        <v>15</v>
      </c>
      <c r="F1068" s="3">
        <v>53.95</v>
      </c>
      <c r="H1068" s="1" t="s">
        <v>14</v>
      </c>
      <c r="I1068" t="s">
        <v>396</v>
      </c>
      <c r="J1068" t="s">
        <v>271</v>
      </c>
      <c r="K1068" t="s">
        <v>272</v>
      </c>
      <c r="L1068" t="s">
        <v>273</v>
      </c>
    </row>
    <row r="1069" spans="1:12" ht="15">
      <c r="A1069" s="4">
        <v>201404</v>
      </c>
      <c r="B1069" t="s">
        <v>270</v>
      </c>
      <c r="C1069" s="5">
        <v>6535458</v>
      </c>
      <c r="D1069" s="2" t="s">
        <v>736</v>
      </c>
      <c r="E1069" s="2" t="s">
        <v>15</v>
      </c>
      <c r="F1069" s="3">
        <v>57.5</v>
      </c>
      <c r="H1069" s="1" t="s">
        <v>14</v>
      </c>
      <c r="I1069" t="s">
        <v>71</v>
      </c>
      <c r="J1069" t="s">
        <v>271</v>
      </c>
      <c r="K1069" t="s">
        <v>272</v>
      </c>
      <c r="L1069" t="s">
        <v>273</v>
      </c>
    </row>
    <row r="1070" spans="1:13" ht="15">
      <c r="A1070" s="4">
        <v>201403</v>
      </c>
      <c r="B1070" t="s">
        <v>270</v>
      </c>
      <c r="C1070" s="5">
        <v>6535458</v>
      </c>
      <c r="D1070" s="2" t="s">
        <v>736</v>
      </c>
      <c r="E1070" s="2" t="s">
        <v>15</v>
      </c>
      <c r="F1070" s="3">
        <v>84</v>
      </c>
      <c r="G1070" t="s">
        <v>737</v>
      </c>
      <c r="H1070" s="1" t="s">
        <v>44</v>
      </c>
      <c r="I1070" t="e">
        <f>-Punchlist Repairs resulting from TC2 boiler inspections</f>
        <v>#NAME?</v>
      </c>
      <c r="J1070" t="s">
        <v>271</v>
      </c>
      <c r="K1070" t="s">
        <v>272</v>
      </c>
      <c r="L1070" t="s">
        <v>273</v>
      </c>
      <c r="M1070">
        <v>901837</v>
      </c>
    </row>
    <row r="1071" spans="1:13" ht="15">
      <c r="A1071" s="4">
        <v>201403</v>
      </c>
      <c r="B1071" t="s">
        <v>270</v>
      </c>
      <c r="C1071" s="5">
        <v>6535458</v>
      </c>
      <c r="D1071" s="2" t="s">
        <v>736</v>
      </c>
      <c r="E1071" s="2" t="s">
        <v>15</v>
      </c>
      <c r="F1071" s="3">
        <v>294.42</v>
      </c>
      <c r="G1071" t="s">
        <v>737</v>
      </c>
      <c r="H1071" s="1" t="s">
        <v>44</v>
      </c>
      <c r="I1071" t="e">
        <f>-Punchlist Repairs resulting from TC2 boiler inspections</f>
        <v>#NAME?</v>
      </c>
      <c r="J1071" t="s">
        <v>271</v>
      </c>
      <c r="K1071" t="s">
        <v>272</v>
      </c>
      <c r="L1071" t="s">
        <v>273</v>
      </c>
      <c r="M1071">
        <v>901837</v>
      </c>
    </row>
    <row r="1072" spans="1:13" ht="15">
      <c r="A1072" s="4">
        <v>201403</v>
      </c>
      <c r="B1072" t="s">
        <v>270</v>
      </c>
      <c r="C1072" s="5">
        <v>6535458</v>
      </c>
      <c r="D1072" s="2" t="s">
        <v>736</v>
      </c>
      <c r="E1072" s="2" t="s">
        <v>15</v>
      </c>
      <c r="F1072" s="3">
        <v>3259.2</v>
      </c>
      <c r="G1072" t="s">
        <v>737</v>
      </c>
      <c r="H1072" s="1" t="s">
        <v>44</v>
      </c>
      <c r="I1072" t="e">
        <f>-Punchlist Repairs resulting from TC2 boiler inspections</f>
        <v>#NAME?</v>
      </c>
      <c r="J1072" t="s">
        <v>271</v>
      </c>
      <c r="K1072" t="s">
        <v>272</v>
      </c>
      <c r="L1072" t="s">
        <v>273</v>
      </c>
      <c r="M1072">
        <v>901837</v>
      </c>
    </row>
    <row r="1073" spans="1:13" ht="15">
      <c r="A1073" s="4">
        <v>201404</v>
      </c>
      <c r="B1073" t="s">
        <v>270</v>
      </c>
      <c r="C1073" s="5">
        <v>6535458</v>
      </c>
      <c r="D1073" s="2" t="s">
        <v>736</v>
      </c>
      <c r="E1073" s="2" t="s">
        <v>15</v>
      </c>
      <c r="F1073" s="3">
        <v>12107.71</v>
      </c>
      <c r="G1073" t="s">
        <v>737</v>
      </c>
      <c r="H1073" s="1" t="s">
        <v>44</v>
      </c>
      <c r="I1073" t="e">
        <f>-Punchlist Repairs resulting from TC2 boiler inspections</f>
        <v>#NAME?</v>
      </c>
      <c r="J1073" t="s">
        <v>271</v>
      </c>
      <c r="K1073" t="s">
        <v>272</v>
      </c>
      <c r="L1073" t="s">
        <v>273</v>
      </c>
      <c r="M1073">
        <v>901837</v>
      </c>
    </row>
    <row r="1074" spans="1:13" ht="15">
      <c r="A1074" s="4">
        <v>201405</v>
      </c>
      <c r="B1074" t="s">
        <v>270</v>
      </c>
      <c r="C1074" s="5">
        <v>6535458</v>
      </c>
      <c r="D1074" s="2" t="s">
        <v>736</v>
      </c>
      <c r="E1074" s="2" t="s">
        <v>15</v>
      </c>
      <c r="F1074" s="3">
        <v>4503.12</v>
      </c>
      <c r="G1074" t="s">
        <v>72</v>
      </c>
      <c r="H1074" s="1" t="s">
        <v>44</v>
      </c>
      <c r="I1074" t="s">
        <v>738</v>
      </c>
      <c r="J1074" t="s">
        <v>271</v>
      </c>
      <c r="K1074" t="s">
        <v>272</v>
      </c>
      <c r="L1074" t="s">
        <v>273</v>
      </c>
      <c r="M1074">
        <v>905805</v>
      </c>
    </row>
    <row r="1075" spans="1:13" ht="15">
      <c r="A1075" s="4">
        <v>201405</v>
      </c>
      <c r="B1075" t="s">
        <v>270</v>
      </c>
      <c r="C1075" s="5">
        <v>6535458</v>
      </c>
      <c r="D1075" s="2" t="s">
        <v>736</v>
      </c>
      <c r="E1075" s="2" t="s">
        <v>15</v>
      </c>
      <c r="F1075" s="3">
        <v>8855</v>
      </c>
      <c r="G1075" t="s">
        <v>739</v>
      </c>
      <c r="H1075" s="1" t="s">
        <v>44</v>
      </c>
      <c r="I1075" t="e">
        <f>-labor/MATERIAL-Install refractory at nose arch and waterwall TO provide gas seal.</f>
        <v>#NAME?</v>
      </c>
      <c r="J1075" t="s">
        <v>271</v>
      </c>
      <c r="K1075" t="s">
        <v>272</v>
      </c>
      <c r="L1075" t="s">
        <v>273</v>
      </c>
      <c r="M1075">
        <v>904586</v>
      </c>
    </row>
    <row r="1076" spans="1:13" ht="15">
      <c r="A1076" s="4">
        <v>201405</v>
      </c>
      <c r="B1076" t="s">
        <v>270</v>
      </c>
      <c r="C1076" s="5">
        <v>6535458</v>
      </c>
      <c r="D1076" s="2" t="s">
        <v>736</v>
      </c>
      <c r="E1076" s="2" t="s">
        <v>15</v>
      </c>
      <c r="F1076" s="3">
        <v>12967.41</v>
      </c>
      <c r="G1076" t="s">
        <v>73</v>
      </c>
      <c r="H1076" s="1" t="s">
        <v>44</v>
      </c>
      <c r="I1076" t="s">
        <v>740</v>
      </c>
      <c r="J1076" t="s">
        <v>271</v>
      </c>
      <c r="K1076" t="s">
        <v>272</v>
      </c>
      <c r="L1076" t="s">
        <v>273</v>
      </c>
      <c r="M1076">
        <v>900125</v>
      </c>
    </row>
    <row r="1077" spans="1:13" ht="15">
      <c r="A1077" s="4">
        <v>201405</v>
      </c>
      <c r="B1077" t="s">
        <v>270</v>
      </c>
      <c r="C1077" s="5">
        <v>6535458</v>
      </c>
      <c r="D1077" s="2" t="s">
        <v>736</v>
      </c>
      <c r="E1077" s="2" t="s">
        <v>15</v>
      </c>
      <c r="F1077" s="3">
        <v>19918.21</v>
      </c>
      <c r="G1077" t="s">
        <v>72</v>
      </c>
      <c r="H1077" s="1" t="s">
        <v>44</v>
      </c>
      <c r="I1077" t="s">
        <v>741</v>
      </c>
      <c r="J1077" t="s">
        <v>271</v>
      </c>
      <c r="K1077" t="s">
        <v>272</v>
      </c>
      <c r="L1077" t="s">
        <v>273</v>
      </c>
      <c r="M1077">
        <v>905812</v>
      </c>
    </row>
    <row r="1078" spans="1:13" ht="15">
      <c r="A1078" s="4">
        <v>201405</v>
      </c>
      <c r="B1078" t="s">
        <v>270</v>
      </c>
      <c r="C1078" s="5">
        <v>6535458</v>
      </c>
      <c r="D1078" s="2" t="s">
        <v>736</v>
      </c>
      <c r="E1078" s="2" t="s">
        <v>15</v>
      </c>
      <c r="F1078" s="3">
        <v>101232.09</v>
      </c>
      <c r="G1078" t="s">
        <v>72</v>
      </c>
      <c r="H1078" s="1" t="s">
        <v>44</v>
      </c>
      <c r="I1078" t="s">
        <v>742</v>
      </c>
      <c r="J1078" t="s">
        <v>271</v>
      </c>
      <c r="K1078" t="s">
        <v>272</v>
      </c>
      <c r="L1078" t="s">
        <v>273</v>
      </c>
      <c r="M1078">
        <v>905806</v>
      </c>
    </row>
    <row r="1079" spans="1:13" ht="15">
      <c r="A1079" s="4">
        <v>201405</v>
      </c>
      <c r="B1079" t="s">
        <v>270</v>
      </c>
      <c r="C1079" s="5">
        <v>6535458</v>
      </c>
      <c r="D1079" s="2" t="s">
        <v>736</v>
      </c>
      <c r="E1079" s="2" t="s">
        <v>15</v>
      </c>
      <c r="F1079" s="3">
        <v>134122.98</v>
      </c>
      <c r="G1079" t="s">
        <v>72</v>
      </c>
      <c r="H1079" s="1" t="s">
        <v>44</v>
      </c>
      <c r="I1079" t="s">
        <v>743</v>
      </c>
      <c r="J1079" t="s">
        <v>271</v>
      </c>
      <c r="K1079" t="s">
        <v>272</v>
      </c>
      <c r="L1079" t="s">
        <v>273</v>
      </c>
      <c r="M1079">
        <v>905807</v>
      </c>
    </row>
    <row r="1080" spans="1:13" ht="15">
      <c r="A1080" s="4">
        <v>201406</v>
      </c>
      <c r="B1080" t="s">
        <v>270</v>
      </c>
      <c r="C1080" s="5">
        <v>6535458</v>
      </c>
      <c r="D1080" s="2" t="s">
        <v>736</v>
      </c>
      <c r="E1080" s="2" t="s">
        <v>15</v>
      </c>
      <c r="F1080" s="3">
        <v>4597.19</v>
      </c>
      <c r="G1080" t="s">
        <v>72</v>
      </c>
      <c r="H1080" s="1" t="s">
        <v>44</v>
      </c>
      <c r="I1080" t="e">
        <f>-labor-PO TO COVER Additional labor hours FOR TC2 Punchlist repairs.</f>
        <v>#NAME?</v>
      </c>
      <c r="J1080" t="s">
        <v>271</v>
      </c>
      <c r="K1080" t="s">
        <v>272</v>
      </c>
      <c r="L1080" t="s">
        <v>273</v>
      </c>
      <c r="M1080">
        <v>908094</v>
      </c>
    </row>
    <row r="1081" spans="1:14" ht="15">
      <c r="A1081" s="4">
        <v>201406</v>
      </c>
      <c r="B1081" t="s">
        <v>270</v>
      </c>
      <c r="C1081" s="5">
        <v>6535458</v>
      </c>
      <c r="D1081" s="2" t="s">
        <v>736</v>
      </c>
      <c r="E1081" s="2" t="s">
        <v>15</v>
      </c>
      <c r="F1081" s="3">
        <v>16415.19</v>
      </c>
      <c r="G1081" t="s">
        <v>57</v>
      </c>
      <c r="H1081" s="1" t="s">
        <v>44</v>
      </c>
      <c r="I1081">
        <f>-53919/95091773/1</f>
        <v>-0.0005670206611880083</v>
      </c>
      <c r="J1081" t="s">
        <v>271</v>
      </c>
      <c r="K1081" t="s">
        <v>272</v>
      </c>
      <c r="L1081" t="s">
        <v>273</v>
      </c>
      <c r="N1081" t="s">
        <v>58</v>
      </c>
    </row>
    <row r="1082" spans="1:13" ht="15">
      <c r="A1082" s="4">
        <v>201406</v>
      </c>
      <c r="B1082" t="s">
        <v>270</v>
      </c>
      <c r="C1082" s="5">
        <v>6535458</v>
      </c>
      <c r="D1082" s="2" t="s">
        <v>736</v>
      </c>
      <c r="E1082" s="2" t="s">
        <v>15</v>
      </c>
      <c r="F1082" s="3">
        <v>273586.47</v>
      </c>
      <c r="G1082" t="s">
        <v>446</v>
      </c>
      <c r="H1082" s="1" t="s">
        <v>44</v>
      </c>
      <c r="I1082" t="s">
        <v>744</v>
      </c>
      <c r="J1082" t="s">
        <v>271</v>
      </c>
      <c r="K1082" t="s">
        <v>272</v>
      </c>
      <c r="L1082" t="s">
        <v>273</v>
      </c>
      <c r="M1082">
        <v>903207</v>
      </c>
    </row>
    <row r="1083" spans="1:13" ht="15">
      <c r="A1083" s="4">
        <v>201407</v>
      </c>
      <c r="B1083" t="s">
        <v>270</v>
      </c>
      <c r="C1083" s="5">
        <v>6535458</v>
      </c>
      <c r="D1083" s="2" t="s">
        <v>736</v>
      </c>
      <c r="E1083" s="2" t="s">
        <v>15</v>
      </c>
      <c r="F1083" s="3">
        <v>55353.95</v>
      </c>
      <c r="G1083" t="s">
        <v>72</v>
      </c>
      <c r="H1083" s="1" t="s">
        <v>44</v>
      </c>
      <c r="I1083" t="s">
        <v>745</v>
      </c>
      <c r="J1083" t="s">
        <v>271</v>
      </c>
      <c r="K1083" t="s">
        <v>272</v>
      </c>
      <c r="L1083" t="s">
        <v>273</v>
      </c>
      <c r="M1083">
        <v>908422</v>
      </c>
    </row>
    <row r="1084" spans="1:13" ht="15">
      <c r="A1084" s="4">
        <v>201407</v>
      </c>
      <c r="B1084" t="s">
        <v>270</v>
      </c>
      <c r="C1084" s="5">
        <v>6535458</v>
      </c>
      <c r="D1084" s="2" t="s">
        <v>736</v>
      </c>
      <c r="E1084" s="2" t="s">
        <v>15</v>
      </c>
      <c r="F1084" s="3">
        <v>130917.26</v>
      </c>
      <c r="G1084" t="s">
        <v>72</v>
      </c>
      <c r="H1084" s="1" t="s">
        <v>44</v>
      </c>
      <c r="I1084" t="s">
        <v>746</v>
      </c>
      <c r="J1084" t="s">
        <v>271</v>
      </c>
      <c r="K1084" t="s">
        <v>272</v>
      </c>
      <c r="L1084" t="s">
        <v>273</v>
      </c>
      <c r="M1084">
        <v>908103</v>
      </c>
    </row>
    <row r="1085" spans="1:13" ht="15">
      <c r="A1085" s="4">
        <v>201410</v>
      </c>
      <c r="B1085" t="s">
        <v>270</v>
      </c>
      <c r="C1085" s="5">
        <v>6535458</v>
      </c>
      <c r="D1085" s="2" t="s">
        <v>736</v>
      </c>
      <c r="E1085" s="2" t="s">
        <v>15</v>
      </c>
      <c r="F1085" s="3">
        <v>-4220</v>
      </c>
      <c r="G1085" t="s">
        <v>72</v>
      </c>
      <c r="H1085" s="1" t="s">
        <v>44</v>
      </c>
      <c r="I1085" t="s">
        <v>743</v>
      </c>
      <c r="J1085" t="s">
        <v>271</v>
      </c>
      <c r="K1085" t="s">
        <v>272</v>
      </c>
      <c r="L1085" t="s">
        <v>273</v>
      </c>
      <c r="M1085">
        <v>905807</v>
      </c>
    </row>
    <row r="1086" spans="1:13" ht="15">
      <c r="A1086" s="4">
        <v>201404</v>
      </c>
      <c r="B1086" t="s">
        <v>270</v>
      </c>
      <c r="C1086" s="5">
        <v>6535458</v>
      </c>
      <c r="D1086" s="2" t="s">
        <v>736</v>
      </c>
      <c r="E1086" s="2" t="s">
        <v>15</v>
      </c>
      <c r="F1086" s="3">
        <v>222.75</v>
      </c>
      <c r="G1086" t="s">
        <v>79</v>
      </c>
      <c r="H1086" s="1" t="s">
        <v>78</v>
      </c>
      <c r="I1086" t="s">
        <v>747</v>
      </c>
      <c r="J1086" t="s">
        <v>271</v>
      </c>
      <c r="K1086" t="s">
        <v>272</v>
      </c>
      <c r="L1086" t="s">
        <v>273</v>
      </c>
      <c r="M1086">
        <v>902798</v>
      </c>
    </row>
    <row r="1087" spans="1:13" ht="15">
      <c r="A1087" s="4">
        <v>201404</v>
      </c>
      <c r="B1087" t="s">
        <v>270</v>
      </c>
      <c r="C1087" s="5">
        <v>6535458</v>
      </c>
      <c r="D1087" s="2" t="s">
        <v>736</v>
      </c>
      <c r="E1087" s="2" t="s">
        <v>15</v>
      </c>
      <c r="F1087" s="3">
        <v>2462.73</v>
      </c>
      <c r="G1087" t="s">
        <v>79</v>
      </c>
      <c r="H1087" s="1" t="s">
        <v>78</v>
      </c>
      <c r="I1087" t="s">
        <v>748</v>
      </c>
      <c r="J1087" t="s">
        <v>271</v>
      </c>
      <c r="K1087" t="s">
        <v>272</v>
      </c>
      <c r="L1087" t="s">
        <v>273</v>
      </c>
      <c r="M1087">
        <v>902799</v>
      </c>
    </row>
    <row r="1088" spans="1:13" ht="15">
      <c r="A1088" s="4">
        <v>201405</v>
      </c>
      <c r="B1088" t="s">
        <v>270</v>
      </c>
      <c r="C1088" s="5">
        <v>6535458</v>
      </c>
      <c r="D1088" s="2" t="s">
        <v>736</v>
      </c>
      <c r="E1088" s="2" t="s">
        <v>15</v>
      </c>
      <c r="F1088" s="3">
        <v>911</v>
      </c>
      <c r="G1088" t="s">
        <v>79</v>
      </c>
      <c r="H1088" s="1" t="s">
        <v>78</v>
      </c>
      <c r="I1088" t="s">
        <v>749</v>
      </c>
      <c r="J1088" t="s">
        <v>271</v>
      </c>
      <c r="K1088" t="s">
        <v>272</v>
      </c>
      <c r="L1088" t="s">
        <v>273</v>
      </c>
      <c r="M1088">
        <v>905718</v>
      </c>
    </row>
    <row r="1089" spans="1:13" ht="15">
      <c r="A1089" s="4">
        <v>201405</v>
      </c>
      <c r="B1089" t="s">
        <v>270</v>
      </c>
      <c r="C1089" s="5">
        <v>6535458</v>
      </c>
      <c r="D1089" s="2" t="s">
        <v>736</v>
      </c>
      <c r="E1089" s="2" t="s">
        <v>15</v>
      </c>
      <c r="F1089" s="3">
        <v>2621.79</v>
      </c>
      <c r="G1089" t="s">
        <v>73</v>
      </c>
      <c r="H1089" s="1" t="s">
        <v>78</v>
      </c>
      <c r="I1089" t="s">
        <v>750</v>
      </c>
      <c r="J1089" t="s">
        <v>271</v>
      </c>
      <c r="K1089" t="s">
        <v>272</v>
      </c>
      <c r="L1089" t="s">
        <v>273</v>
      </c>
      <c r="M1089">
        <v>900125</v>
      </c>
    </row>
    <row r="1090" spans="1:13" ht="15">
      <c r="A1090" s="4">
        <v>201405</v>
      </c>
      <c r="B1090" t="s">
        <v>270</v>
      </c>
      <c r="C1090" s="5">
        <v>6535458</v>
      </c>
      <c r="D1090" s="2" t="s">
        <v>736</v>
      </c>
      <c r="E1090" s="2" t="s">
        <v>15</v>
      </c>
      <c r="F1090" s="3">
        <v>4195</v>
      </c>
      <c r="G1090" t="s">
        <v>79</v>
      </c>
      <c r="H1090" s="1" t="s">
        <v>78</v>
      </c>
      <c r="I1090" t="s">
        <v>751</v>
      </c>
      <c r="J1090" t="s">
        <v>271</v>
      </c>
      <c r="K1090" t="s">
        <v>272</v>
      </c>
      <c r="L1090" t="s">
        <v>273</v>
      </c>
      <c r="M1090">
        <v>905719</v>
      </c>
    </row>
    <row r="1091" spans="1:13" ht="15">
      <c r="A1091" s="4">
        <v>201404</v>
      </c>
      <c r="B1091" t="s">
        <v>270</v>
      </c>
      <c r="C1091" s="5">
        <v>6535458</v>
      </c>
      <c r="D1091" s="2" t="s">
        <v>736</v>
      </c>
      <c r="E1091" s="2" t="s">
        <v>15</v>
      </c>
      <c r="F1091" s="3">
        <v>522</v>
      </c>
      <c r="G1091" t="s">
        <v>79</v>
      </c>
      <c r="H1091" s="1" t="s">
        <v>46</v>
      </c>
      <c r="I1091" t="s">
        <v>752</v>
      </c>
      <c r="J1091" t="s">
        <v>271</v>
      </c>
      <c r="K1091" t="s">
        <v>272</v>
      </c>
      <c r="L1091" t="s">
        <v>273</v>
      </c>
      <c r="M1091">
        <v>903201</v>
      </c>
    </row>
    <row r="1092" spans="1:13" ht="15">
      <c r="A1092" s="4">
        <v>201404</v>
      </c>
      <c r="B1092" t="s">
        <v>270</v>
      </c>
      <c r="C1092" s="5">
        <v>6535458</v>
      </c>
      <c r="D1092" s="2" t="s">
        <v>736</v>
      </c>
      <c r="E1092" s="2" t="s">
        <v>15</v>
      </c>
      <c r="F1092" s="3">
        <v>3410.43</v>
      </c>
      <c r="G1092" t="s">
        <v>79</v>
      </c>
      <c r="H1092" s="1" t="s">
        <v>46</v>
      </c>
      <c r="I1092" t="s">
        <v>748</v>
      </c>
      <c r="J1092" t="s">
        <v>271</v>
      </c>
      <c r="K1092" t="s">
        <v>272</v>
      </c>
      <c r="L1092" t="s">
        <v>273</v>
      </c>
      <c r="M1092">
        <v>902799</v>
      </c>
    </row>
    <row r="1093" spans="1:13" ht="15">
      <c r="A1093" s="4">
        <v>201404</v>
      </c>
      <c r="B1093" t="s">
        <v>270</v>
      </c>
      <c r="C1093" s="5">
        <v>6535458</v>
      </c>
      <c r="D1093" s="2" t="s">
        <v>736</v>
      </c>
      <c r="E1093" s="2" t="s">
        <v>15</v>
      </c>
      <c r="F1093" s="3">
        <v>6754.72</v>
      </c>
      <c r="G1093" t="s">
        <v>79</v>
      </c>
      <c r="H1093" s="1" t="s">
        <v>46</v>
      </c>
      <c r="I1093" t="s">
        <v>747</v>
      </c>
      <c r="J1093" t="s">
        <v>271</v>
      </c>
      <c r="K1093" t="s">
        <v>272</v>
      </c>
      <c r="L1093" t="s">
        <v>273</v>
      </c>
      <c r="M1093">
        <v>902798</v>
      </c>
    </row>
    <row r="1094" spans="1:13" ht="15">
      <c r="A1094" s="4">
        <v>201405</v>
      </c>
      <c r="B1094" t="s">
        <v>270</v>
      </c>
      <c r="C1094" s="5">
        <v>6535458</v>
      </c>
      <c r="D1094" s="2" t="s">
        <v>736</v>
      </c>
      <c r="E1094" s="2" t="s">
        <v>15</v>
      </c>
      <c r="F1094" s="3">
        <v>1535.63</v>
      </c>
      <c r="G1094" t="s">
        <v>79</v>
      </c>
      <c r="H1094" s="1" t="s">
        <v>46</v>
      </c>
      <c r="I1094" t="s">
        <v>749</v>
      </c>
      <c r="J1094" t="s">
        <v>271</v>
      </c>
      <c r="K1094" t="s">
        <v>272</v>
      </c>
      <c r="L1094" t="s">
        <v>273</v>
      </c>
      <c r="M1094">
        <v>905718</v>
      </c>
    </row>
    <row r="1095" spans="1:13" ht="15">
      <c r="A1095" s="4">
        <v>201405</v>
      </c>
      <c r="B1095" t="s">
        <v>270</v>
      </c>
      <c r="C1095" s="5">
        <v>6535458</v>
      </c>
      <c r="D1095" s="2" t="s">
        <v>736</v>
      </c>
      <c r="E1095" s="2" t="s">
        <v>15</v>
      </c>
      <c r="F1095" s="3">
        <v>4398.05</v>
      </c>
      <c r="G1095" t="s">
        <v>79</v>
      </c>
      <c r="H1095" s="1" t="s">
        <v>46</v>
      </c>
      <c r="I1095" t="s">
        <v>751</v>
      </c>
      <c r="J1095" t="s">
        <v>271</v>
      </c>
      <c r="K1095" t="s">
        <v>272</v>
      </c>
      <c r="L1095" t="s">
        <v>273</v>
      </c>
      <c r="M1095">
        <v>905719</v>
      </c>
    </row>
    <row r="1096" spans="1:13" ht="15">
      <c r="A1096" s="4">
        <v>201405</v>
      </c>
      <c r="B1096" t="s">
        <v>270</v>
      </c>
      <c r="C1096" s="5">
        <v>6535458</v>
      </c>
      <c r="D1096" s="2" t="s">
        <v>736</v>
      </c>
      <c r="E1096" s="2" t="s">
        <v>15</v>
      </c>
      <c r="F1096" s="3">
        <v>6551.14</v>
      </c>
      <c r="G1096" t="s">
        <v>73</v>
      </c>
      <c r="H1096" s="1" t="s">
        <v>46</v>
      </c>
      <c r="I1096" t="s">
        <v>95</v>
      </c>
      <c r="J1096" t="s">
        <v>271</v>
      </c>
      <c r="K1096" t="s">
        <v>272</v>
      </c>
      <c r="L1096" t="s">
        <v>273</v>
      </c>
      <c r="M1096">
        <v>904872</v>
      </c>
    </row>
    <row r="1097" spans="1:13" ht="15">
      <c r="A1097" s="4">
        <v>201405</v>
      </c>
      <c r="B1097" t="s">
        <v>270</v>
      </c>
      <c r="C1097" s="5">
        <v>6535458</v>
      </c>
      <c r="D1097" s="2" t="s">
        <v>736</v>
      </c>
      <c r="E1097" s="2" t="s">
        <v>15</v>
      </c>
      <c r="F1097" s="3">
        <v>9730.5</v>
      </c>
      <c r="G1097" t="s">
        <v>73</v>
      </c>
      <c r="H1097" s="1" t="s">
        <v>46</v>
      </c>
      <c r="I1097" t="s">
        <v>74</v>
      </c>
      <c r="J1097" t="s">
        <v>271</v>
      </c>
      <c r="K1097" t="s">
        <v>272</v>
      </c>
      <c r="L1097" t="s">
        <v>273</v>
      </c>
      <c r="M1097">
        <v>905953</v>
      </c>
    </row>
    <row r="1098" spans="1:13" ht="15">
      <c r="A1098" s="4">
        <v>201407</v>
      </c>
      <c r="B1098" t="s">
        <v>270</v>
      </c>
      <c r="C1098" s="5">
        <v>6535458</v>
      </c>
      <c r="D1098" s="2" t="s">
        <v>736</v>
      </c>
      <c r="E1098" s="2" t="s">
        <v>15</v>
      </c>
      <c r="F1098" s="3">
        <v>1585.95</v>
      </c>
      <c r="G1098" t="s">
        <v>73</v>
      </c>
      <c r="H1098" s="1" t="s">
        <v>46</v>
      </c>
      <c r="I1098" t="s">
        <v>75</v>
      </c>
      <c r="J1098" t="s">
        <v>271</v>
      </c>
      <c r="K1098" t="s">
        <v>272</v>
      </c>
      <c r="L1098" t="s">
        <v>273</v>
      </c>
      <c r="M1098">
        <v>908282</v>
      </c>
    </row>
    <row r="1099" spans="1:14" ht="15">
      <c r="A1099" s="4">
        <v>201404</v>
      </c>
      <c r="B1099" t="s">
        <v>270</v>
      </c>
      <c r="C1099" s="5">
        <v>6535458</v>
      </c>
      <c r="D1099" s="2" t="s">
        <v>736</v>
      </c>
      <c r="E1099" s="2" t="s">
        <v>15</v>
      </c>
      <c r="F1099" s="3">
        <v>239.16</v>
      </c>
      <c r="G1099" t="s">
        <v>57</v>
      </c>
      <c r="H1099" s="1" t="s">
        <v>60</v>
      </c>
      <c r="I1099">
        <f>-53919/95083795/1</f>
        <v>-0.0005670682370218816</v>
      </c>
      <c r="J1099" t="s">
        <v>271</v>
      </c>
      <c r="K1099" t="s">
        <v>272</v>
      </c>
      <c r="L1099" t="s">
        <v>273</v>
      </c>
      <c r="N1099" t="s">
        <v>58</v>
      </c>
    </row>
    <row r="1100" spans="1:14" ht="15">
      <c r="A1100" s="4">
        <v>201404</v>
      </c>
      <c r="B1100" t="s">
        <v>270</v>
      </c>
      <c r="C1100" s="5">
        <v>6535458</v>
      </c>
      <c r="D1100" s="2" t="s">
        <v>736</v>
      </c>
      <c r="E1100" s="2" t="s">
        <v>15</v>
      </c>
      <c r="F1100" s="3">
        <v>253.2</v>
      </c>
      <c r="G1100" t="s">
        <v>57</v>
      </c>
      <c r="H1100" s="1" t="s">
        <v>60</v>
      </c>
      <c r="I1100">
        <f>-53919/95081252/1</f>
        <v>-0.0005670834035715053</v>
      </c>
      <c r="J1100" t="s">
        <v>271</v>
      </c>
      <c r="K1100" t="s">
        <v>272</v>
      </c>
      <c r="L1100" t="s">
        <v>273</v>
      </c>
      <c r="N1100" t="s">
        <v>58</v>
      </c>
    </row>
    <row r="1101" spans="1:14" ht="15">
      <c r="A1101" s="4">
        <v>201404</v>
      </c>
      <c r="B1101" t="s">
        <v>270</v>
      </c>
      <c r="C1101" s="5">
        <v>6535458</v>
      </c>
      <c r="D1101" s="2" t="s">
        <v>736</v>
      </c>
      <c r="E1101" s="2" t="s">
        <v>15</v>
      </c>
      <c r="F1101" s="3">
        <v>956.64</v>
      </c>
      <c r="G1101" t="s">
        <v>57</v>
      </c>
      <c r="H1101" s="1" t="s">
        <v>60</v>
      </c>
      <c r="I1101">
        <f>-53919/95084400/1</f>
        <v>-0.0005670646288981158</v>
      </c>
      <c r="J1101" t="s">
        <v>271</v>
      </c>
      <c r="K1101" t="s">
        <v>272</v>
      </c>
      <c r="L1101" t="s">
        <v>273</v>
      </c>
      <c r="N1101" t="s">
        <v>58</v>
      </c>
    </row>
    <row r="1102" spans="1:13" ht="15">
      <c r="A1102" s="4">
        <v>201404</v>
      </c>
      <c r="B1102" t="s">
        <v>270</v>
      </c>
      <c r="C1102" s="5">
        <v>6535458</v>
      </c>
      <c r="D1102" s="2" t="s">
        <v>736</v>
      </c>
      <c r="E1102" s="2" t="s">
        <v>15</v>
      </c>
      <c r="F1102" s="3">
        <v>3986</v>
      </c>
      <c r="G1102" t="s">
        <v>446</v>
      </c>
      <c r="H1102" s="1" t="s">
        <v>60</v>
      </c>
      <c r="I1102" t="s">
        <v>753</v>
      </c>
      <c r="J1102" t="s">
        <v>271</v>
      </c>
      <c r="K1102" t="s">
        <v>272</v>
      </c>
      <c r="L1102" t="s">
        <v>273</v>
      </c>
      <c r="M1102">
        <v>902348</v>
      </c>
    </row>
    <row r="1103" spans="1:13" ht="15">
      <c r="A1103" s="4">
        <v>201404</v>
      </c>
      <c r="B1103" t="s">
        <v>270</v>
      </c>
      <c r="C1103" s="5">
        <v>6535458</v>
      </c>
      <c r="D1103" s="2" t="s">
        <v>736</v>
      </c>
      <c r="E1103" s="2" t="s">
        <v>15</v>
      </c>
      <c r="F1103" s="3">
        <v>4220</v>
      </c>
      <c r="G1103" t="s">
        <v>446</v>
      </c>
      <c r="H1103" s="1" t="s">
        <v>60</v>
      </c>
      <c r="I1103" t="s">
        <v>754</v>
      </c>
      <c r="J1103" t="s">
        <v>271</v>
      </c>
      <c r="K1103" t="s">
        <v>272</v>
      </c>
      <c r="L1103" t="s">
        <v>273</v>
      </c>
      <c r="M1103">
        <v>901275</v>
      </c>
    </row>
    <row r="1104" spans="1:13" ht="15">
      <c r="A1104" s="4">
        <v>201404</v>
      </c>
      <c r="B1104" t="s">
        <v>270</v>
      </c>
      <c r="C1104" s="5">
        <v>6535458</v>
      </c>
      <c r="D1104" s="2" t="s">
        <v>736</v>
      </c>
      <c r="E1104" s="2" t="s">
        <v>15</v>
      </c>
      <c r="F1104" s="3">
        <v>15944</v>
      </c>
      <c r="G1104" t="s">
        <v>446</v>
      </c>
      <c r="H1104" s="1" t="s">
        <v>60</v>
      </c>
      <c r="I1104" t="s">
        <v>753</v>
      </c>
      <c r="J1104" t="s">
        <v>271</v>
      </c>
      <c r="K1104" t="s">
        <v>272</v>
      </c>
      <c r="L1104" t="s">
        <v>273</v>
      </c>
      <c r="M1104">
        <v>902348</v>
      </c>
    </row>
    <row r="1105" spans="1:13" ht="15">
      <c r="A1105" s="4">
        <v>201406</v>
      </c>
      <c r="B1105" t="s">
        <v>270</v>
      </c>
      <c r="C1105" s="5">
        <v>6535458</v>
      </c>
      <c r="D1105" s="2" t="s">
        <v>736</v>
      </c>
      <c r="E1105" s="2" t="s">
        <v>15</v>
      </c>
      <c r="F1105" s="3">
        <v>2832.17</v>
      </c>
      <c r="G1105" t="s">
        <v>72</v>
      </c>
      <c r="H1105" s="1" t="s">
        <v>755</v>
      </c>
      <c r="I1105" t="e">
        <f>-RENTAL equipment-PO TO COVER RENTAL fees FOR sky climbers during hte TC1 AH wash outage.</f>
        <v>#NAME?</v>
      </c>
      <c r="J1105" t="s">
        <v>271</v>
      </c>
      <c r="K1105" t="s">
        <v>272</v>
      </c>
      <c r="L1105" t="s">
        <v>273</v>
      </c>
      <c r="M1105">
        <v>908094</v>
      </c>
    </row>
    <row r="1106" spans="1:14" ht="15">
      <c r="A1106" s="4">
        <v>201404</v>
      </c>
      <c r="B1106" t="s">
        <v>270</v>
      </c>
      <c r="C1106" s="5">
        <v>6535458</v>
      </c>
      <c r="D1106" s="2" t="s">
        <v>736</v>
      </c>
      <c r="E1106" s="2" t="s">
        <v>15</v>
      </c>
      <c r="F1106" s="3">
        <v>6.19</v>
      </c>
      <c r="G1106" t="s">
        <v>57</v>
      </c>
      <c r="H1106" s="1" t="s">
        <v>69</v>
      </c>
      <c r="I1106">
        <f>-53919/95084821/1</f>
        <v>-0.0005670621181481742</v>
      </c>
      <c r="J1106" t="s">
        <v>271</v>
      </c>
      <c r="K1106" t="s">
        <v>272</v>
      </c>
      <c r="L1106" t="s">
        <v>273</v>
      </c>
      <c r="N1106" t="s">
        <v>58</v>
      </c>
    </row>
    <row r="1107" spans="1:12" ht="15">
      <c r="A1107" s="4">
        <v>201404</v>
      </c>
      <c r="B1107" t="s">
        <v>270</v>
      </c>
      <c r="C1107" s="5">
        <v>6535458</v>
      </c>
      <c r="D1107" s="2" t="s">
        <v>736</v>
      </c>
      <c r="E1107" s="2" t="s">
        <v>15</v>
      </c>
      <c r="F1107" s="3">
        <v>103.19</v>
      </c>
      <c r="G1107" t="s">
        <v>446</v>
      </c>
      <c r="H1107" s="1" t="s">
        <v>69</v>
      </c>
      <c r="I1107" t="s">
        <v>756</v>
      </c>
      <c r="J1107" t="s">
        <v>271</v>
      </c>
      <c r="K1107" t="s">
        <v>272</v>
      </c>
      <c r="L1107" t="s">
        <v>273</v>
      </c>
    </row>
    <row r="1108" spans="1:13" ht="15">
      <c r="A1108" s="4">
        <v>201404</v>
      </c>
      <c r="B1108" t="s">
        <v>270</v>
      </c>
      <c r="C1108" s="5">
        <v>6535461</v>
      </c>
      <c r="D1108" s="2" t="s">
        <v>757</v>
      </c>
      <c r="E1108" s="2" t="s">
        <v>15</v>
      </c>
      <c r="F1108" s="3">
        <v>9604</v>
      </c>
      <c r="G1108" t="s">
        <v>739</v>
      </c>
      <c r="H1108" s="1" t="s">
        <v>44</v>
      </c>
      <c r="I1108" t="e">
        <f>-labor/MATERIAL-Remove broken tile and Replace missing tile on TC2 SSC.</f>
        <v>#NAME?</v>
      </c>
      <c r="J1108" t="s">
        <v>271</v>
      </c>
      <c r="K1108" t="s">
        <v>272</v>
      </c>
      <c r="L1108" t="s">
        <v>273</v>
      </c>
      <c r="M1108">
        <v>902917</v>
      </c>
    </row>
    <row r="1109" spans="1:13" ht="15">
      <c r="A1109" s="4">
        <v>201405</v>
      </c>
      <c r="B1109" t="s">
        <v>270</v>
      </c>
      <c r="C1109" s="5">
        <v>6535461</v>
      </c>
      <c r="D1109" s="2" t="s">
        <v>757</v>
      </c>
      <c r="E1109" s="2" t="s">
        <v>15</v>
      </c>
      <c r="F1109" s="3">
        <v>5094.2</v>
      </c>
      <c r="G1109" t="s">
        <v>758</v>
      </c>
      <c r="H1109" s="1" t="s">
        <v>44</v>
      </c>
      <c r="I1109" t="e">
        <f>-labor-provide technician FOR TC2 SSC Start up support. Help SET tensions on chains and oversee startup.</f>
        <v>#NAME?</v>
      </c>
      <c r="J1109" t="s">
        <v>271</v>
      </c>
      <c r="K1109" t="s">
        <v>272</v>
      </c>
      <c r="L1109" t="s">
        <v>273</v>
      </c>
      <c r="M1109">
        <v>904340</v>
      </c>
    </row>
    <row r="1110" spans="1:13" ht="15">
      <c r="A1110" s="4">
        <v>201405</v>
      </c>
      <c r="B1110" t="s">
        <v>270</v>
      </c>
      <c r="C1110" s="5">
        <v>6535518</v>
      </c>
      <c r="D1110" s="2" t="s">
        <v>759</v>
      </c>
      <c r="E1110" s="2" t="s">
        <v>15</v>
      </c>
      <c r="F1110" s="3">
        <v>2937.65</v>
      </c>
      <c r="G1110" t="s">
        <v>126</v>
      </c>
      <c r="H1110" s="1" t="s">
        <v>44</v>
      </c>
      <c r="I1110" t="e">
        <f>-Overhaul air Compressors</f>
        <v>#NAME?</v>
      </c>
      <c r="J1110" t="s">
        <v>271</v>
      </c>
      <c r="K1110" t="s">
        <v>272</v>
      </c>
      <c r="L1110" t="s">
        <v>273</v>
      </c>
      <c r="M1110">
        <v>902666</v>
      </c>
    </row>
    <row r="1111" spans="1:13" ht="15">
      <c r="A1111" s="4">
        <v>201405</v>
      </c>
      <c r="B1111" t="s">
        <v>270</v>
      </c>
      <c r="C1111" s="5">
        <v>6535518</v>
      </c>
      <c r="D1111" s="2" t="s">
        <v>759</v>
      </c>
      <c r="E1111" s="2" t="s">
        <v>15</v>
      </c>
      <c r="F1111" s="3">
        <v>2937.65</v>
      </c>
      <c r="G1111" t="s">
        <v>126</v>
      </c>
      <c r="H1111" s="1" t="s">
        <v>44</v>
      </c>
      <c r="I1111" t="e">
        <f>-Overhaul air Compressors</f>
        <v>#NAME?</v>
      </c>
      <c r="J1111" t="s">
        <v>271</v>
      </c>
      <c r="K1111" t="s">
        <v>272</v>
      </c>
      <c r="L1111" t="s">
        <v>273</v>
      </c>
      <c r="M1111">
        <v>902666</v>
      </c>
    </row>
    <row r="1112" spans="1:13" ht="15">
      <c r="A1112" s="4">
        <v>201405</v>
      </c>
      <c r="B1112" t="s">
        <v>270</v>
      </c>
      <c r="C1112" s="5">
        <v>6535518</v>
      </c>
      <c r="D1112" s="2" t="s">
        <v>759</v>
      </c>
      <c r="E1112" s="2" t="s">
        <v>15</v>
      </c>
      <c r="F1112" s="3">
        <v>11971.22</v>
      </c>
      <c r="G1112" t="s">
        <v>126</v>
      </c>
      <c r="H1112" s="1" t="s">
        <v>44</v>
      </c>
      <c r="I1112" t="e">
        <f>-Overhaul air Compressors</f>
        <v>#NAME?</v>
      </c>
      <c r="J1112" t="s">
        <v>271</v>
      </c>
      <c r="K1112" t="s">
        <v>272</v>
      </c>
      <c r="L1112" t="s">
        <v>273</v>
      </c>
      <c r="M1112">
        <v>902666</v>
      </c>
    </row>
    <row r="1113" spans="1:13" ht="15">
      <c r="A1113" s="4">
        <v>201405</v>
      </c>
      <c r="B1113" t="s">
        <v>270</v>
      </c>
      <c r="C1113" s="5">
        <v>6535518</v>
      </c>
      <c r="D1113" s="2" t="s">
        <v>759</v>
      </c>
      <c r="E1113" s="2" t="s">
        <v>15</v>
      </c>
      <c r="F1113" s="3">
        <v>11971.22</v>
      </c>
      <c r="G1113" t="s">
        <v>126</v>
      </c>
      <c r="H1113" s="1" t="s">
        <v>44</v>
      </c>
      <c r="I1113" t="e">
        <f>-Overhaul air Compressors</f>
        <v>#NAME?</v>
      </c>
      <c r="J1113" t="s">
        <v>271</v>
      </c>
      <c r="K1113" t="s">
        <v>272</v>
      </c>
      <c r="L1113" t="s">
        <v>273</v>
      </c>
      <c r="M1113">
        <v>902666</v>
      </c>
    </row>
    <row r="1114" spans="1:12" ht="15">
      <c r="A1114" s="4">
        <v>201404</v>
      </c>
      <c r="B1114" t="s">
        <v>270</v>
      </c>
      <c r="C1114" s="5">
        <v>6535518</v>
      </c>
      <c r="D1114" s="2" t="s">
        <v>759</v>
      </c>
      <c r="E1114" s="2" t="s">
        <v>15</v>
      </c>
      <c r="F1114" s="3">
        <v>5.64</v>
      </c>
      <c r="H1114" s="1" t="s">
        <v>66</v>
      </c>
      <c r="I1114" t="s">
        <v>67</v>
      </c>
      <c r="J1114" t="s">
        <v>271</v>
      </c>
      <c r="K1114" t="s">
        <v>272</v>
      </c>
      <c r="L1114" t="s">
        <v>273</v>
      </c>
    </row>
    <row r="1115" spans="1:14" ht="15">
      <c r="A1115" s="4">
        <v>201405</v>
      </c>
      <c r="B1115" t="s">
        <v>270</v>
      </c>
      <c r="C1115" s="5">
        <v>6535518</v>
      </c>
      <c r="D1115" s="2" t="s">
        <v>759</v>
      </c>
      <c r="E1115" s="2" t="s">
        <v>15</v>
      </c>
      <c r="F1115" s="3">
        <v>7.84</v>
      </c>
      <c r="G1115" t="s">
        <v>57</v>
      </c>
      <c r="H1115" s="1" t="s">
        <v>69</v>
      </c>
      <c r="I1115">
        <f>-30572/288855/1</f>
        <v>-0.10583856952450191</v>
      </c>
      <c r="J1115" t="s">
        <v>271</v>
      </c>
      <c r="K1115" t="s">
        <v>272</v>
      </c>
      <c r="L1115" t="s">
        <v>273</v>
      </c>
      <c r="N1115" t="s">
        <v>58</v>
      </c>
    </row>
    <row r="1116" spans="1:14" ht="15">
      <c r="A1116" s="4">
        <v>201405</v>
      </c>
      <c r="B1116" t="s">
        <v>270</v>
      </c>
      <c r="C1116" s="5">
        <v>6535518</v>
      </c>
      <c r="D1116" s="2" t="s">
        <v>759</v>
      </c>
      <c r="E1116" s="2" t="s">
        <v>15</v>
      </c>
      <c r="F1116" s="3">
        <v>7.84</v>
      </c>
      <c r="G1116" t="s">
        <v>57</v>
      </c>
      <c r="H1116" s="1" t="s">
        <v>69</v>
      </c>
      <c r="I1116">
        <f>-30572/290351/1</f>
        <v>-0.10529324851645078</v>
      </c>
      <c r="J1116" t="s">
        <v>271</v>
      </c>
      <c r="K1116" t="s">
        <v>272</v>
      </c>
      <c r="L1116" t="s">
        <v>273</v>
      </c>
      <c r="N1116" t="s">
        <v>58</v>
      </c>
    </row>
    <row r="1117" spans="1:14" ht="15">
      <c r="A1117" s="4">
        <v>201405</v>
      </c>
      <c r="B1117" t="s">
        <v>270</v>
      </c>
      <c r="C1117" s="5">
        <v>6535518</v>
      </c>
      <c r="D1117" s="2" t="s">
        <v>759</v>
      </c>
      <c r="E1117" s="2" t="s">
        <v>15</v>
      </c>
      <c r="F1117" s="3">
        <v>11.67</v>
      </c>
      <c r="G1117" t="s">
        <v>57</v>
      </c>
      <c r="H1117" s="1" t="s">
        <v>69</v>
      </c>
      <c r="I1117">
        <f>-30572/290352/1</f>
        <v>-0.10529288587645341</v>
      </c>
      <c r="J1117" t="s">
        <v>271</v>
      </c>
      <c r="K1117" t="s">
        <v>272</v>
      </c>
      <c r="L1117" t="s">
        <v>273</v>
      </c>
      <c r="N1117" t="s">
        <v>58</v>
      </c>
    </row>
    <row r="1118" spans="1:14" ht="15">
      <c r="A1118" s="4">
        <v>201405</v>
      </c>
      <c r="B1118" t="s">
        <v>270</v>
      </c>
      <c r="C1118" s="5">
        <v>6535518</v>
      </c>
      <c r="D1118" s="2" t="s">
        <v>759</v>
      </c>
      <c r="E1118" s="2" t="s">
        <v>15</v>
      </c>
      <c r="F1118" s="3">
        <v>64.56</v>
      </c>
      <c r="G1118" t="s">
        <v>57</v>
      </c>
      <c r="H1118" s="1" t="s">
        <v>69</v>
      </c>
      <c r="I1118">
        <f>-30572/290353/1</f>
        <v>-0.10529252323895397</v>
      </c>
      <c r="J1118" t="s">
        <v>271</v>
      </c>
      <c r="K1118" t="s">
        <v>272</v>
      </c>
      <c r="L1118" t="s">
        <v>273</v>
      </c>
      <c r="N1118" t="s">
        <v>58</v>
      </c>
    </row>
    <row r="1119" spans="1:12" ht="15">
      <c r="A1119" s="4">
        <v>201405</v>
      </c>
      <c r="B1119" t="s">
        <v>270</v>
      </c>
      <c r="C1119" s="5">
        <v>6535518</v>
      </c>
      <c r="D1119" s="2" t="s">
        <v>759</v>
      </c>
      <c r="E1119" s="2" t="s">
        <v>15</v>
      </c>
      <c r="F1119" s="3">
        <v>130.64</v>
      </c>
      <c r="G1119" t="s">
        <v>126</v>
      </c>
      <c r="H1119" s="1" t="s">
        <v>69</v>
      </c>
      <c r="I1119" t="e">
        <f>-freight</f>
        <v>#NAME?</v>
      </c>
      <c r="J1119" t="s">
        <v>271</v>
      </c>
      <c r="K1119" t="s">
        <v>272</v>
      </c>
      <c r="L1119" t="s">
        <v>273</v>
      </c>
    </row>
    <row r="1120" spans="1:12" ht="15">
      <c r="A1120" s="4">
        <v>201405</v>
      </c>
      <c r="B1120" t="s">
        <v>270</v>
      </c>
      <c r="C1120" s="5">
        <v>6535518</v>
      </c>
      <c r="D1120" s="2" t="s">
        <v>759</v>
      </c>
      <c r="E1120" s="2" t="s">
        <v>15</v>
      </c>
      <c r="F1120" s="3">
        <v>130.64</v>
      </c>
      <c r="G1120" t="s">
        <v>126</v>
      </c>
      <c r="H1120" s="1" t="s">
        <v>69</v>
      </c>
      <c r="I1120" t="e">
        <f>-freight</f>
        <v>#NAME?</v>
      </c>
      <c r="J1120" t="s">
        <v>271</v>
      </c>
      <c r="K1120" t="s">
        <v>272</v>
      </c>
      <c r="L1120" t="s">
        <v>273</v>
      </c>
    </row>
    <row r="1121" spans="1:12" ht="15">
      <c r="A1121" s="4">
        <v>201405</v>
      </c>
      <c r="B1121" t="s">
        <v>270</v>
      </c>
      <c r="C1121" s="5">
        <v>6535518</v>
      </c>
      <c r="D1121" s="2" t="s">
        <v>759</v>
      </c>
      <c r="E1121" s="2" t="s">
        <v>15</v>
      </c>
      <c r="F1121" s="3">
        <v>194.5</v>
      </c>
      <c r="G1121" t="s">
        <v>126</v>
      </c>
      <c r="H1121" s="1" t="s">
        <v>69</v>
      </c>
      <c r="I1121" t="e">
        <f>-freight</f>
        <v>#NAME?</v>
      </c>
      <c r="J1121" t="s">
        <v>271</v>
      </c>
      <c r="K1121" t="s">
        <v>272</v>
      </c>
      <c r="L1121" t="s">
        <v>273</v>
      </c>
    </row>
    <row r="1122" spans="1:12" ht="15">
      <c r="A1122" s="4">
        <v>201405</v>
      </c>
      <c r="B1122" t="s">
        <v>270</v>
      </c>
      <c r="C1122" s="5">
        <v>6535518</v>
      </c>
      <c r="D1122" s="2" t="s">
        <v>759</v>
      </c>
      <c r="E1122" s="2" t="s">
        <v>15</v>
      </c>
      <c r="F1122" s="3">
        <v>1076.04</v>
      </c>
      <c r="G1122" t="s">
        <v>126</v>
      </c>
      <c r="H1122" s="1" t="s">
        <v>69</v>
      </c>
      <c r="I1122" t="e">
        <f>-freight</f>
        <v>#NAME?</v>
      </c>
      <c r="J1122" t="s">
        <v>271</v>
      </c>
      <c r="K1122" t="s">
        <v>272</v>
      </c>
      <c r="L1122" t="s">
        <v>273</v>
      </c>
    </row>
    <row r="1123" spans="1:12" ht="15">
      <c r="A1123" s="4">
        <v>201404</v>
      </c>
      <c r="B1123" t="s">
        <v>270</v>
      </c>
      <c r="C1123" s="5">
        <v>6535519</v>
      </c>
      <c r="D1123" s="2" t="s">
        <v>760</v>
      </c>
      <c r="E1123" s="2" t="s">
        <v>15</v>
      </c>
      <c r="F1123" s="3">
        <v>0.38</v>
      </c>
      <c r="H1123" s="1" t="s">
        <v>66</v>
      </c>
      <c r="I1123" t="s">
        <v>67</v>
      </c>
      <c r="J1123" t="s">
        <v>271</v>
      </c>
      <c r="K1123" t="s">
        <v>272</v>
      </c>
      <c r="L1123" t="s">
        <v>273</v>
      </c>
    </row>
    <row r="1124" spans="1:12" ht="15">
      <c r="A1124" s="4">
        <v>201404</v>
      </c>
      <c r="B1124" t="s">
        <v>270</v>
      </c>
      <c r="C1124" s="5">
        <v>6535520</v>
      </c>
      <c r="D1124" s="2" t="s">
        <v>761</v>
      </c>
      <c r="E1124" s="2" t="s">
        <v>15</v>
      </c>
      <c r="F1124" s="3">
        <v>5.5</v>
      </c>
      <c r="H1124" s="1" t="s">
        <v>14</v>
      </c>
      <c r="I1124" t="s">
        <v>377</v>
      </c>
      <c r="J1124" t="s">
        <v>271</v>
      </c>
      <c r="K1124" t="s">
        <v>272</v>
      </c>
      <c r="L1124" t="s">
        <v>273</v>
      </c>
    </row>
    <row r="1125" spans="1:12" ht="15">
      <c r="A1125" s="4">
        <v>201404</v>
      </c>
      <c r="B1125" t="s">
        <v>270</v>
      </c>
      <c r="C1125" s="5">
        <v>6535520</v>
      </c>
      <c r="D1125" s="2" t="s">
        <v>761</v>
      </c>
      <c r="E1125" s="2" t="s">
        <v>15</v>
      </c>
      <c r="F1125" s="3">
        <v>9.43</v>
      </c>
      <c r="H1125" s="1" t="s">
        <v>14</v>
      </c>
      <c r="I1125" t="s">
        <v>762</v>
      </c>
      <c r="J1125" t="s">
        <v>271</v>
      </c>
      <c r="K1125" t="s">
        <v>272</v>
      </c>
      <c r="L1125" t="s">
        <v>273</v>
      </c>
    </row>
    <row r="1126" spans="1:12" ht="15">
      <c r="A1126" s="4">
        <v>201404</v>
      </c>
      <c r="B1126" t="s">
        <v>270</v>
      </c>
      <c r="C1126" s="5">
        <v>6535520</v>
      </c>
      <c r="D1126" s="2" t="s">
        <v>761</v>
      </c>
      <c r="E1126" s="2" t="s">
        <v>15</v>
      </c>
      <c r="F1126" s="3">
        <v>14.4</v>
      </c>
      <c r="H1126" s="1" t="s">
        <v>14</v>
      </c>
      <c r="I1126" t="s">
        <v>379</v>
      </c>
      <c r="J1126" t="s">
        <v>271</v>
      </c>
      <c r="K1126" t="s">
        <v>272</v>
      </c>
      <c r="L1126" t="s">
        <v>273</v>
      </c>
    </row>
    <row r="1127" spans="1:12" ht="15">
      <c r="A1127" s="4">
        <v>201404</v>
      </c>
      <c r="B1127" t="s">
        <v>270</v>
      </c>
      <c r="C1127" s="5">
        <v>6535520</v>
      </c>
      <c r="D1127" s="2" t="s">
        <v>761</v>
      </c>
      <c r="E1127" s="2" t="s">
        <v>15</v>
      </c>
      <c r="F1127" s="3">
        <v>17.28</v>
      </c>
      <c r="H1127" s="1" t="s">
        <v>14</v>
      </c>
      <c r="I1127" t="s">
        <v>503</v>
      </c>
      <c r="J1127" t="s">
        <v>271</v>
      </c>
      <c r="K1127" t="s">
        <v>272</v>
      </c>
      <c r="L1127" t="s">
        <v>273</v>
      </c>
    </row>
    <row r="1128" spans="1:13" ht="15">
      <c r="A1128" s="4">
        <v>201405</v>
      </c>
      <c r="B1128" t="s">
        <v>270</v>
      </c>
      <c r="C1128" s="5">
        <v>6535520</v>
      </c>
      <c r="D1128" s="2" t="s">
        <v>761</v>
      </c>
      <c r="E1128" s="2" t="s">
        <v>15</v>
      </c>
      <c r="F1128" s="3">
        <v>27738</v>
      </c>
      <c r="G1128" t="s">
        <v>137</v>
      </c>
      <c r="H1128" s="1" t="s">
        <v>44</v>
      </c>
      <c r="I1128" t="s">
        <v>763</v>
      </c>
      <c r="J1128" t="s">
        <v>271</v>
      </c>
      <c r="K1128" t="s">
        <v>272</v>
      </c>
      <c r="L1128" t="s">
        <v>273</v>
      </c>
      <c r="M1128">
        <v>902347</v>
      </c>
    </row>
    <row r="1129" spans="1:12" ht="15">
      <c r="A1129" s="4">
        <v>201404</v>
      </c>
      <c r="B1129" t="s">
        <v>270</v>
      </c>
      <c r="C1129" s="5">
        <v>6535520</v>
      </c>
      <c r="D1129" s="2" t="s">
        <v>761</v>
      </c>
      <c r="E1129" s="2" t="s">
        <v>15</v>
      </c>
      <c r="F1129" s="3">
        <v>9.6</v>
      </c>
      <c r="H1129" s="1" t="s">
        <v>66</v>
      </c>
      <c r="I1129" t="s">
        <v>67</v>
      </c>
      <c r="J1129" t="s">
        <v>271</v>
      </c>
      <c r="K1129" t="s">
        <v>272</v>
      </c>
      <c r="L1129" t="s">
        <v>273</v>
      </c>
    </row>
    <row r="1130" spans="1:14" ht="15">
      <c r="A1130" s="4">
        <v>201405</v>
      </c>
      <c r="B1130" t="s">
        <v>270</v>
      </c>
      <c r="C1130" s="5">
        <v>6535520</v>
      </c>
      <c r="D1130" s="2" t="s">
        <v>761</v>
      </c>
      <c r="E1130" s="2" t="s">
        <v>15</v>
      </c>
      <c r="F1130" s="3">
        <v>72.25</v>
      </c>
      <c r="G1130" t="s">
        <v>57</v>
      </c>
      <c r="H1130" s="1" t="s">
        <v>69</v>
      </c>
      <c r="I1130">
        <f>-10287/9600182700/1</f>
        <v>-1.071542107214272E-06</v>
      </c>
      <c r="J1130" t="s">
        <v>271</v>
      </c>
      <c r="K1130" t="s">
        <v>272</v>
      </c>
      <c r="L1130" t="s">
        <v>273</v>
      </c>
      <c r="N1130" t="s">
        <v>58</v>
      </c>
    </row>
    <row r="1131" spans="1:12" ht="15">
      <c r="A1131" s="4">
        <v>201405</v>
      </c>
      <c r="B1131" t="s">
        <v>270</v>
      </c>
      <c r="C1131" s="5">
        <v>6535520</v>
      </c>
      <c r="D1131" s="2" t="s">
        <v>761</v>
      </c>
      <c r="E1131" s="2" t="s">
        <v>15</v>
      </c>
      <c r="F1131" s="3">
        <v>1204.17</v>
      </c>
      <c r="G1131" t="s">
        <v>137</v>
      </c>
      <c r="H1131" s="1" t="s">
        <v>69</v>
      </c>
      <c r="I1131" t="e">
        <f>-freight</f>
        <v>#NAME?</v>
      </c>
      <c r="J1131" t="s">
        <v>271</v>
      </c>
      <c r="K1131" t="s">
        <v>272</v>
      </c>
      <c r="L1131" t="s">
        <v>273</v>
      </c>
    </row>
    <row r="1132" spans="1:12" ht="15">
      <c r="A1132" s="4">
        <v>201404</v>
      </c>
      <c r="B1132" t="s">
        <v>270</v>
      </c>
      <c r="C1132" s="5">
        <v>6535521</v>
      </c>
      <c r="D1132" s="2" t="s">
        <v>764</v>
      </c>
      <c r="E1132" s="2" t="s">
        <v>15</v>
      </c>
      <c r="F1132" s="3">
        <v>1.98</v>
      </c>
      <c r="H1132" s="1" t="s">
        <v>66</v>
      </c>
      <c r="I1132" t="s">
        <v>67</v>
      </c>
      <c r="J1132" t="s">
        <v>271</v>
      </c>
      <c r="K1132" t="s">
        <v>272</v>
      </c>
      <c r="L1132" t="s">
        <v>273</v>
      </c>
    </row>
    <row r="1133" spans="1:12" ht="15">
      <c r="A1133" s="4">
        <v>201404</v>
      </c>
      <c r="B1133" t="s">
        <v>270</v>
      </c>
      <c r="C1133" s="5">
        <v>6535522</v>
      </c>
      <c r="D1133" s="2" t="s">
        <v>765</v>
      </c>
      <c r="E1133" s="2" t="s">
        <v>15</v>
      </c>
      <c r="F1133" s="3">
        <v>1.6</v>
      </c>
      <c r="H1133" s="1" t="s">
        <v>66</v>
      </c>
      <c r="I1133" t="s">
        <v>67</v>
      </c>
      <c r="J1133" t="s">
        <v>271</v>
      </c>
      <c r="K1133" t="s">
        <v>272</v>
      </c>
      <c r="L1133" t="s">
        <v>273</v>
      </c>
    </row>
    <row r="1134" spans="1:12" ht="15">
      <c r="A1134" s="4">
        <v>201403</v>
      </c>
      <c r="B1134" t="s">
        <v>270</v>
      </c>
      <c r="C1134" s="5">
        <v>6535532</v>
      </c>
      <c r="D1134" s="2" t="s">
        <v>766</v>
      </c>
      <c r="E1134" s="2" t="s">
        <v>15</v>
      </c>
      <c r="F1134" s="3">
        <v>4.68</v>
      </c>
      <c r="H1134" s="1" t="s">
        <v>14</v>
      </c>
      <c r="I1134" t="s">
        <v>363</v>
      </c>
      <c r="J1134" t="s">
        <v>271</v>
      </c>
      <c r="K1134" t="s">
        <v>272</v>
      </c>
      <c r="L1134" t="s">
        <v>273</v>
      </c>
    </row>
    <row r="1135" spans="1:12" ht="15">
      <c r="A1135" s="4">
        <v>201403</v>
      </c>
      <c r="B1135" t="s">
        <v>270</v>
      </c>
      <c r="C1135" s="5">
        <v>6535532</v>
      </c>
      <c r="D1135" s="2" t="s">
        <v>766</v>
      </c>
      <c r="E1135" s="2" t="s">
        <v>15</v>
      </c>
      <c r="F1135" s="3">
        <v>5.16</v>
      </c>
      <c r="H1135" s="1" t="s">
        <v>14</v>
      </c>
      <c r="I1135" t="s">
        <v>375</v>
      </c>
      <c r="J1135" t="s">
        <v>271</v>
      </c>
      <c r="K1135" t="s">
        <v>272</v>
      </c>
      <c r="L1135" t="s">
        <v>273</v>
      </c>
    </row>
    <row r="1136" spans="1:12" ht="15">
      <c r="A1136" s="4">
        <v>201403</v>
      </c>
      <c r="B1136" t="s">
        <v>270</v>
      </c>
      <c r="C1136" s="5">
        <v>6535532</v>
      </c>
      <c r="D1136" s="2" t="s">
        <v>766</v>
      </c>
      <c r="E1136" s="2" t="s">
        <v>15</v>
      </c>
      <c r="F1136" s="3">
        <v>5.5</v>
      </c>
      <c r="H1136" s="1" t="s">
        <v>14</v>
      </c>
      <c r="I1136" t="s">
        <v>377</v>
      </c>
      <c r="J1136" t="s">
        <v>271</v>
      </c>
      <c r="K1136" t="s">
        <v>272</v>
      </c>
      <c r="L1136" t="s">
        <v>273</v>
      </c>
    </row>
    <row r="1137" spans="1:12" ht="15">
      <c r="A1137" s="4">
        <v>201403</v>
      </c>
      <c r="B1137" t="s">
        <v>270</v>
      </c>
      <c r="C1137" s="5">
        <v>6535532</v>
      </c>
      <c r="D1137" s="2" t="s">
        <v>766</v>
      </c>
      <c r="E1137" s="2" t="s">
        <v>15</v>
      </c>
      <c r="F1137" s="3">
        <v>39.87</v>
      </c>
      <c r="H1137" s="1" t="s">
        <v>14</v>
      </c>
      <c r="I1137" t="s">
        <v>89</v>
      </c>
      <c r="J1137" t="s">
        <v>271</v>
      </c>
      <c r="K1137" t="s">
        <v>272</v>
      </c>
      <c r="L1137" t="s">
        <v>273</v>
      </c>
    </row>
    <row r="1138" spans="1:12" ht="15">
      <c r="A1138" s="4">
        <v>201404</v>
      </c>
      <c r="B1138" t="s">
        <v>270</v>
      </c>
      <c r="C1138" s="5">
        <v>6535539</v>
      </c>
      <c r="D1138" s="2" t="s">
        <v>768</v>
      </c>
      <c r="E1138" s="2" t="s">
        <v>15</v>
      </c>
      <c r="F1138" s="3">
        <v>-4263</v>
      </c>
      <c r="H1138" s="1" t="s">
        <v>330</v>
      </c>
      <c r="I1138" t="s">
        <v>767</v>
      </c>
      <c r="J1138" t="s">
        <v>271</v>
      </c>
      <c r="K1138" t="s">
        <v>272</v>
      </c>
      <c r="L1138" t="s">
        <v>273</v>
      </c>
    </row>
    <row r="1139" spans="1:12" ht="15">
      <c r="A1139" s="4">
        <v>201402</v>
      </c>
      <c r="B1139" t="s">
        <v>270</v>
      </c>
      <c r="C1139" s="5">
        <v>6535539</v>
      </c>
      <c r="D1139" s="2" t="s">
        <v>768</v>
      </c>
      <c r="E1139" s="2" t="s">
        <v>15</v>
      </c>
      <c r="F1139" s="3">
        <v>5.16</v>
      </c>
      <c r="H1139" s="1" t="s">
        <v>14</v>
      </c>
      <c r="I1139" t="s">
        <v>375</v>
      </c>
      <c r="J1139" t="s">
        <v>271</v>
      </c>
      <c r="K1139" t="s">
        <v>272</v>
      </c>
      <c r="L1139" t="s">
        <v>273</v>
      </c>
    </row>
    <row r="1140" spans="1:12" ht="15">
      <c r="A1140" s="4">
        <v>201402</v>
      </c>
      <c r="B1140" t="s">
        <v>270</v>
      </c>
      <c r="C1140" s="5">
        <v>6535539</v>
      </c>
      <c r="D1140" s="2" t="s">
        <v>768</v>
      </c>
      <c r="E1140" s="2" t="s">
        <v>15</v>
      </c>
      <c r="F1140" s="3">
        <v>6.96</v>
      </c>
      <c r="H1140" s="1" t="s">
        <v>14</v>
      </c>
      <c r="I1140" t="s">
        <v>769</v>
      </c>
      <c r="J1140" t="s">
        <v>271</v>
      </c>
      <c r="K1140" t="s">
        <v>272</v>
      </c>
      <c r="L1140" t="s">
        <v>273</v>
      </c>
    </row>
    <row r="1141" spans="1:12" ht="15">
      <c r="A1141" s="4">
        <v>201402</v>
      </c>
      <c r="B1141" t="s">
        <v>270</v>
      </c>
      <c r="C1141" s="5">
        <v>6535539</v>
      </c>
      <c r="D1141" s="2" t="s">
        <v>768</v>
      </c>
      <c r="E1141" s="2" t="s">
        <v>15</v>
      </c>
      <c r="F1141" s="3">
        <v>12.18</v>
      </c>
      <c r="H1141" s="1" t="s">
        <v>14</v>
      </c>
      <c r="I1141" t="s">
        <v>770</v>
      </c>
      <c r="J1141" t="s">
        <v>271</v>
      </c>
      <c r="K1141" t="s">
        <v>272</v>
      </c>
      <c r="L1141" t="s">
        <v>273</v>
      </c>
    </row>
    <row r="1142" spans="1:12" ht="15">
      <c r="A1142" s="4">
        <v>201402</v>
      </c>
      <c r="B1142" t="s">
        <v>270</v>
      </c>
      <c r="C1142" s="5">
        <v>6535539</v>
      </c>
      <c r="D1142" s="2" t="s">
        <v>768</v>
      </c>
      <c r="E1142" s="2" t="s">
        <v>15</v>
      </c>
      <c r="F1142" s="3">
        <v>12.96</v>
      </c>
      <c r="H1142" s="1" t="s">
        <v>14</v>
      </c>
      <c r="I1142" t="s">
        <v>325</v>
      </c>
      <c r="J1142" t="s">
        <v>271</v>
      </c>
      <c r="K1142" t="s">
        <v>272</v>
      </c>
      <c r="L1142" t="s">
        <v>273</v>
      </c>
    </row>
    <row r="1143" spans="1:12" ht="15">
      <c r="A1143" s="4">
        <v>201403</v>
      </c>
      <c r="B1143" t="s">
        <v>270</v>
      </c>
      <c r="C1143" s="5">
        <v>6535539</v>
      </c>
      <c r="D1143" s="2" t="s">
        <v>768</v>
      </c>
      <c r="E1143" s="2" t="s">
        <v>15</v>
      </c>
      <c r="F1143" s="3">
        <v>0</v>
      </c>
      <c r="H1143" s="1" t="s">
        <v>14</v>
      </c>
      <c r="I1143" t="s">
        <v>771</v>
      </c>
      <c r="J1143" t="s">
        <v>271</v>
      </c>
      <c r="K1143" t="s">
        <v>272</v>
      </c>
      <c r="L1143" t="s">
        <v>273</v>
      </c>
    </row>
    <row r="1144" spans="1:12" ht="15">
      <c r="A1144" s="4">
        <v>201403</v>
      </c>
      <c r="B1144" t="s">
        <v>270</v>
      </c>
      <c r="C1144" s="5">
        <v>6535539</v>
      </c>
      <c r="D1144" s="2" t="s">
        <v>768</v>
      </c>
      <c r="E1144" s="2" t="s">
        <v>15</v>
      </c>
      <c r="F1144" s="3">
        <v>0</v>
      </c>
      <c r="H1144" s="1" t="s">
        <v>14</v>
      </c>
      <c r="I1144" t="s">
        <v>772</v>
      </c>
      <c r="J1144" t="s">
        <v>271</v>
      </c>
      <c r="K1144" t="s">
        <v>272</v>
      </c>
      <c r="L1144" t="s">
        <v>273</v>
      </c>
    </row>
    <row r="1145" spans="1:12" ht="15">
      <c r="A1145" s="4">
        <v>201403</v>
      </c>
      <c r="B1145" t="s">
        <v>270</v>
      </c>
      <c r="C1145" s="5">
        <v>6535539</v>
      </c>
      <c r="D1145" s="2" t="s">
        <v>768</v>
      </c>
      <c r="E1145" s="2" t="s">
        <v>15</v>
      </c>
      <c r="F1145" s="3">
        <v>0</v>
      </c>
      <c r="H1145" s="1" t="s">
        <v>14</v>
      </c>
      <c r="I1145" t="s">
        <v>773</v>
      </c>
      <c r="J1145" t="s">
        <v>271</v>
      </c>
      <c r="K1145" t="s">
        <v>272</v>
      </c>
      <c r="L1145" t="s">
        <v>273</v>
      </c>
    </row>
    <row r="1146" spans="1:12" ht="15">
      <c r="A1146" s="4">
        <v>201403</v>
      </c>
      <c r="B1146" t="s">
        <v>270</v>
      </c>
      <c r="C1146" s="5">
        <v>6535539</v>
      </c>
      <c r="D1146" s="2" t="s">
        <v>768</v>
      </c>
      <c r="E1146" s="2" t="s">
        <v>15</v>
      </c>
      <c r="F1146" s="3">
        <v>0</v>
      </c>
      <c r="H1146" s="1" t="s">
        <v>14</v>
      </c>
      <c r="I1146" t="s">
        <v>774</v>
      </c>
      <c r="J1146" t="s">
        <v>271</v>
      </c>
      <c r="K1146" t="s">
        <v>272</v>
      </c>
      <c r="L1146" t="s">
        <v>273</v>
      </c>
    </row>
    <row r="1147" spans="1:12" ht="15">
      <c r="A1147" s="4">
        <v>201403</v>
      </c>
      <c r="B1147" t="s">
        <v>270</v>
      </c>
      <c r="C1147" s="5">
        <v>6535539</v>
      </c>
      <c r="D1147" s="2" t="s">
        <v>768</v>
      </c>
      <c r="E1147" s="2" t="s">
        <v>15</v>
      </c>
      <c r="F1147" s="3">
        <v>0</v>
      </c>
      <c r="H1147" s="1" t="s">
        <v>14</v>
      </c>
      <c r="I1147" t="s">
        <v>775</v>
      </c>
      <c r="J1147" t="s">
        <v>271</v>
      </c>
      <c r="K1147" t="s">
        <v>272</v>
      </c>
      <c r="L1147" t="s">
        <v>273</v>
      </c>
    </row>
    <row r="1148" spans="1:12" ht="15">
      <c r="A1148" s="4">
        <v>201403</v>
      </c>
      <c r="B1148" t="s">
        <v>270</v>
      </c>
      <c r="C1148" s="5">
        <v>6535539</v>
      </c>
      <c r="D1148" s="2" t="s">
        <v>768</v>
      </c>
      <c r="E1148" s="2" t="s">
        <v>15</v>
      </c>
      <c r="F1148" s="3">
        <v>0</v>
      </c>
      <c r="H1148" s="1" t="s">
        <v>14</v>
      </c>
      <c r="I1148" t="s">
        <v>776</v>
      </c>
      <c r="J1148" t="s">
        <v>271</v>
      </c>
      <c r="K1148" t="s">
        <v>272</v>
      </c>
      <c r="L1148" t="s">
        <v>273</v>
      </c>
    </row>
    <row r="1149" spans="1:12" ht="15">
      <c r="A1149" s="4">
        <v>201403</v>
      </c>
      <c r="B1149" t="s">
        <v>270</v>
      </c>
      <c r="C1149" s="5">
        <v>6535539</v>
      </c>
      <c r="D1149" s="2" t="s">
        <v>768</v>
      </c>
      <c r="E1149" s="2" t="s">
        <v>15</v>
      </c>
      <c r="F1149" s="3">
        <v>0</v>
      </c>
      <c r="H1149" s="1" t="s">
        <v>14</v>
      </c>
      <c r="I1149" t="s">
        <v>777</v>
      </c>
      <c r="J1149" t="s">
        <v>271</v>
      </c>
      <c r="K1149" t="s">
        <v>272</v>
      </c>
      <c r="L1149" t="s">
        <v>273</v>
      </c>
    </row>
    <row r="1150" spans="1:12" ht="15">
      <c r="A1150" s="4">
        <v>201403</v>
      </c>
      <c r="B1150" t="s">
        <v>270</v>
      </c>
      <c r="C1150" s="5">
        <v>6535539</v>
      </c>
      <c r="D1150" s="2" t="s">
        <v>768</v>
      </c>
      <c r="E1150" s="2" t="s">
        <v>15</v>
      </c>
      <c r="F1150" s="3">
        <v>0</v>
      </c>
      <c r="H1150" s="1" t="s">
        <v>14</v>
      </c>
      <c r="I1150" t="s">
        <v>778</v>
      </c>
      <c r="J1150" t="s">
        <v>271</v>
      </c>
      <c r="K1150" t="s">
        <v>272</v>
      </c>
      <c r="L1150" t="s">
        <v>273</v>
      </c>
    </row>
    <row r="1151" spans="1:12" ht="15">
      <c r="A1151" s="4">
        <v>201403</v>
      </c>
      <c r="B1151" t="s">
        <v>270</v>
      </c>
      <c r="C1151" s="5">
        <v>6535539</v>
      </c>
      <c r="D1151" s="2" t="s">
        <v>768</v>
      </c>
      <c r="E1151" s="2" t="s">
        <v>15</v>
      </c>
      <c r="F1151" s="3">
        <v>0</v>
      </c>
      <c r="H1151" s="1" t="s">
        <v>14</v>
      </c>
      <c r="I1151" t="s">
        <v>779</v>
      </c>
      <c r="J1151" t="s">
        <v>271</v>
      </c>
      <c r="K1151" t="s">
        <v>272</v>
      </c>
      <c r="L1151" t="s">
        <v>273</v>
      </c>
    </row>
    <row r="1152" spans="1:12" ht="15">
      <c r="A1152" s="4">
        <v>201403</v>
      </c>
      <c r="B1152" t="s">
        <v>270</v>
      </c>
      <c r="C1152" s="5">
        <v>6535539</v>
      </c>
      <c r="D1152" s="2" t="s">
        <v>768</v>
      </c>
      <c r="E1152" s="2" t="s">
        <v>15</v>
      </c>
      <c r="F1152" s="3">
        <v>3.15</v>
      </c>
      <c r="H1152" s="1" t="s">
        <v>14</v>
      </c>
      <c r="I1152" t="s">
        <v>150</v>
      </c>
      <c r="J1152" t="s">
        <v>271</v>
      </c>
      <c r="K1152" t="s">
        <v>272</v>
      </c>
      <c r="L1152" t="s">
        <v>273</v>
      </c>
    </row>
    <row r="1153" spans="1:12" ht="15">
      <c r="A1153" s="4">
        <v>201403</v>
      </c>
      <c r="B1153" t="s">
        <v>270</v>
      </c>
      <c r="C1153" s="5">
        <v>6535539</v>
      </c>
      <c r="D1153" s="2" t="s">
        <v>768</v>
      </c>
      <c r="E1153" s="2" t="s">
        <v>15</v>
      </c>
      <c r="F1153" s="3">
        <v>4.9</v>
      </c>
      <c r="H1153" s="1" t="s">
        <v>14</v>
      </c>
      <c r="I1153" t="s">
        <v>324</v>
      </c>
      <c r="J1153" t="s">
        <v>271</v>
      </c>
      <c r="K1153" t="s">
        <v>272</v>
      </c>
      <c r="L1153" t="s">
        <v>273</v>
      </c>
    </row>
    <row r="1154" spans="1:12" ht="15">
      <c r="A1154" s="4">
        <v>201403</v>
      </c>
      <c r="B1154" t="s">
        <v>270</v>
      </c>
      <c r="C1154" s="5">
        <v>6535539</v>
      </c>
      <c r="D1154" s="2" t="s">
        <v>768</v>
      </c>
      <c r="E1154" s="2" t="s">
        <v>15</v>
      </c>
      <c r="F1154" s="3">
        <v>7.45</v>
      </c>
      <c r="H1154" s="1" t="s">
        <v>14</v>
      </c>
      <c r="I1154" t="s">
        <v>380</v>
      </c>
      <c r="J1154" t="s">
        <v>271</v>
      </c>
      <c r="K1154" t="s">
        <v>272</v>
      </c>
      <c r="L1154" t="s">
        <v>273</v>
      </c>
    </row>
    <row r="1155" spans="1:12" ht="15">
      <c r="A1155" s="4">
        <v>201403</v>
      </c>
      <c r="B1155" t="s">
        <v>270</v>
      </c>
      <c r="C1155" s="5">
        <v>6535539</v>
      </c>
      <c r="D1155" s="2" t="s">
        <v>768</v>
      </c>
      <c r="E1155" s="2" t="s">
        <v>15</v>
      </c>
      <c r="F1155" s="3">
        <v>8.77</v>
      </c>
      <c r="H1155" s="1" t="s">
        <v>14</v>
      </c>
      <c r="I1155" t="s">
        <v>29</v>
      </c>
      <c r="J1155" t="s">
        <v>271</v>
      </c>
      <c r="K1155" t="s">
        <v>272</v>
      </c>
      <c r="L1155" t="s">
        <v>273</v>
      </c>
    </row>
    <row r="1156" spans="1:12" ht="15">
      <c r="A1156" s="4">
        <v>201403</v>
      </c>
      <c r="B1156" t="s">
        <v>270</v>
      </c>
      <c r="C1156" s="5">
        <v>6535539</v>
      </c>
      <c r="D1156" s="2" t="s">
        <v>768</v>
      </c>
      <c r="E1156" s="2" t="s">
        <v>15</v>
      </c>
      <c r="F1156" s="3">
        <v>17.93</v>
      </c>
      <c r="H1156" s="1" t="s">
        <v>14</v>
      </c>
      <c r="I1156" t="s">
        <v>341</v>
      </c>
      <c r="J1156" t="s">
        <v>271</v>
      </c>
      <c r="K1156" t="s">
        <v>272</v>
      </c>
      <c r="L1156" t="s">
        <v>273</v>
      </c>
    </row>
    <row r="1157" spans="1:12" ht="15">
      <c r="A1157" s="4">
        <v>201403</v>
      </c>
      <c r="B1157" t="s">
        <v>270</v>
      </c>
      <c r="C1157" s="5">
        <v>6535539</v>
      </c>
      <c r="D1157" s="2" t="s">
        <v>768</v>
      </c>
      <c r="E1157" s="2" t="s">
        <v>15</v>
      </c>
      <c r="F1157" s="3">
        <v>21.18</v>
      </c>
      <c r="H1157" s="1" t="s">
        <v>14</v>
      </c>
      <c r="I1157" t="s">
        <v>769</v>
      </c>
      <c r="J1157" t="s">
        <v>271</v>
      </c>
      <c r="K1157" t="s">
        <v>272</v>
      </c>
      <c r="L1157" t="s">
        <v>273</v>
      </c>
    </row>
    <row r="1158" spans="1:12" ht="15">
      <c r="A1158" s="4">
        <v>201403</v>
      </c>
      <c r="B1158" t="s">
        <v>270</v>
      </c>
      <c r="C1158" s="5">
        <v>6535539</v>
      </c>
      <c r="D1158" s="2" t="s">
        <v>768</v>
      </c>
      <c r="E1158" s="2" t="s">
        <v>15</v>
      </c>
      <c r="F1158" s="3">
        <v>29</v>
      </c>
      <c r="H1158" s="1" t="s">
        <v>14</v>
      </c>
      <c r="I1158" t="s">
        <v>335</v>
      </c>
      <c r="J1158" t="s">
        <v>271</v>
      </c>
      <c r="K1158" t="s">
        <v>272</v>
      </c>
      <c r="L1158" t="s">
        <v>273</v>
      </c>
    </row>
    <row r="1159" spans="1:12" ht="15">
      <c r="A1159" s="4">
        <v>201403</v>
      </c>
      <c r="B1159" t="s">
        <v>270</v>
      </c>
      <c r="C1159" s="5">
        <v>6535539</v>
      </c>
      <c r="D1159" s="2" t="s">
        <v>768</v>
      </c>
      <c r="E1159" s="2" t="s">
        <v>15</v>
      </c>
      <c r="F1159" s="3">
        <v>38.88</v>
      </c>
      <c r="H1159" s="1" t="s">
        <v>14</v>
      </c>
      <c r="I1159" t="s">
        <v>325</v>
      </c>
      <c r="J1159" t="s">
        <v>271</v>
      </c>
      <c r="K1159" t="s">
        <v>272</v>
      </c>
      <c r="L1159" t="s">
        <v>273</v>
      </c>
    </row>
    <row r="1160" spans="1:12" ht="15">
      <c r="A1160" s="4">
        <v>201403</v>
      </c>
      <c r="B1160" t="s">
        <v>270</v>
      </c>
      <c r="C1160" s="5">
        <v>6535539</v>
      </c>
      <c r="D1160" s="2" t="s">
        <v>768</v>
      </c>
      <c r="E1160" s="2" t="s">
        <v>15</v>
      </c>
      <c r="F1160" s="3">
        <v>68.67</v>
      </c>
      <c r="H1160" s="1" t="s">
        <v>14</v>
      </c>
      <c r="I1160" t="s">
        <v>89</v>
      </c>
      <c r="J1160" t="s">
        <v>271</v>
      </c>
      <c r="K1160" t="s">
        <v>272</v>
      </c>
      <c r="L1160" t="s">
        <v>273</v>
      </c>
    </row>
    <row r="1161" spans="1:12" ht="15">
      <c r="A1161" s="4">
        <v>201404</v>
      </c>
      <c r="B1161" t="s">
        <v>270</v>
      </c>
      <c r="C1161" s="5">
        <v>6535539</v>
      </c>
      <c r="D1161" s="2" t="s">
        <v>768</v>
      </c>
      <c r="E1161" s="2" t="s">
        <v>15</v>
      </c>
      <c r="F1161" s="3">
        <v>0.51</v>
      </c>
      <c r="H1161" s="1" t="s">
        <v>14</v>
      </c>
      <c r="I1161" t="s">
        <v>780</v>
      </c>
      <c r="J1161" t="s">
        <v>271</v>
      </c>
      <c r="K1161" t="s">
        <v>272</v>
      </c>
      <c r="L1161" t="s">
        <v>273</v>
      </c>
    </row>
    <row r="1162" spans="1:12" ht="15">
      <c r="A1162" s="4">
        <v>201404</v>
      </c>
      <c r="B1162" t="s">
        <v>270</v>
      </c>
      <c r="C1162" s="5">
        <v>6535539</v>
      </c>
      <c r="D1162" s="2" t="s">
        <v>768</v>
      </c>
      <c r="E1162" s="2" t="s">
        <v>15</v>
      </c>
      <c r="F1162" s="3">
        <v>5.5</v>
      </c>
      <c r="H1162" s="1" t="s">
        <v>14</v>
      </c>
      <c r="I1162" t="s">
        <v>377</v>
      </c>
      <c r="J1162" t="s">
        <v>271</v>
      </c>
      <c r="K1162" t="s">
        <v>272</v>
      </c>
      <c r="L1162" t="s">
        <v>273</v>
      </c>
    </row>
    <row r="1163" spans="1:12" ht="15">
      <c r="A1163" s="4">
        <v>201404</v>
      </c>
      <c r="B1163" t="s">
        <v>270</v>
      </c>
      <c r="C1163" s="5">
        <v>6535539</v>
      </c>
      <c r="D1163" s="2" t="s">
        <v>768</v>
      </c>
      <c r="E1163" s="2" t="s">
        <v>15</v>
      </c>
      <c r="F1163" s="3">
        <v>7.73</v>
      </c>
      <c r="H1163" s="1" t="s">
        <v>14</v>
      </c>
      <c r="I1163" t="s">
        <v>35</v>
      </c>
      <c r="J1163" t="s">
        <v>271</v>
      </c>
      <c r="K1163" t="s">
        <v>272</v>
      </c>
      <c r="L1163" t="s">
        <v>273</v>
      </c>
    </row>
    <row r="1164" spans="1:12" ht="15">
      <c r="A1164" s="4">
        <v>201404</v>
      </c>
      <c r="B1164" t="s">
        <v>270</v>
      </c>
      <c r="C1164" s="5">
        <v>6535539</v>
      </c>
      <c r="D1164" s="2" t="s">
        <v>768</v>
      </c>
      <c r="E1164" s="2" t="s">
        <v>15</v>
      </c>
      <c r="F1164" s="3">
        <v>7.95</v>
      </c>
      <c r="H1164" s="1" t="s">
        <v>14</v>
      </c>
      <c r="I1164" t="s">
        <v>200</v>
      </c>
      <c r="J1164" t="s">
        <v>271</v>
      </c>
      <c r="K1164" t="s">
        <v>272</v>
      </c>
      <c r="L1164" t="s">
        <v>273</v>
      </c>
    </row>
    <row r="1165" spans="1:12" ht="15">
      <c r="A1165" s="4">
        <v>201404</v>
      </c>
      <c r="B1165" t="s">
        <v>270</v>
      </c>
      <c r="C1165" s="5">
        <v>6535539</v>
      </c>
      <c r="D1165" s="2" t="s">
        <v>768</v>
      </c>
      <c r="E1165" s="2" t="s">
        <v>15</v>
      </c>
      <c r="F1165" s="3">
        <v>8.7</v>
      </c>
      <c r="H1165" s="1" t="s">
        <v>14</v>
      </c>
      <c r="I1165" t="s">
        <v>37</v>
      </c>
      <c r="J1165" t="s">
        <v>271</v>
      </c>
      <c r="K1165" t="s">
        <v>272</v>
      </c>
      <c r="L1165" t="s">
        <v>273</v>
      </c>
    </row>
    <row r="1166" spans="1:12" ht="15">
      <c r="A1166" s="4">
        <v>201404</v>
      </c>
      <c r="B1166" t="s">
        <v>270</v>
      </c>
      <c r="C1166" s="5">
        <v>6535539</v>
      </c>
      <c r="D1166" s="2" t="s">
        <v>768</v>
      </c>
      <c r="E1166" s="2" t="s">
        <v>15</v>
      </c>
      <c r="F1166" s="3">
        <v>11.13</v>
      </c>
      <c r="H1166" s="1" t="s">
        <v>14</v>
      </c>
      <c r="I1166" t="s">
        <v>33</v>
      </c>
      <c r="J1166" t="s">
        <v>271</v>
      </c>
      <c r="K1166" t="s">
        <v>272</v>
      </c>
      <c r="L1166" t="s">
        <v>273</v>
      </c>
    </row>
    <row r="1167" spans="1:12" ht="15">
      <c r="A1167" s="4">
        <v>201404</v>
      </c>
      <c r="B1167" t="s">
        <v>270</v>
      </c>
      <c r="C1167" s="5">
        <v>6535539</v>
      </c>
      <c r="D1167" s="2" t="s">
        <v>768</v>
      </c>
      <c r="E1167" s="2" t="s">
        <v>15</v>
      </c>
      <c r="F1167" s="3">
        <v>12.69</v>
      </c>
      <c r="H1167" s="1" t="s">
        <v>14</v>
      </c>
      <c r="I1167" t="s">
        <v>628</v>
      </c>
      <c r="J1167" t="s">
        <v>271</v>
      </c>
      <c r="K1167" t="s">
        <v>272</v>
      </c>
      <c r="L1167" t="s">
        <v>273</v>
      </c>
    </row>
    <row r="1168" spans="1:12" ht="15">
      <c r="A1168" s="4">
        <v>201404</v>
      </c>
      <c r="B1168" t="s">
        <v>270</v>
      </c>
      <c r="C1168" s="5">
        <v>6535539</v>
      </c>
      <c r="D1168" s="2" t="s">
        <v>768</v>
      </c>
      <c r="E1168" s="2" t="s">
        <v>15</v>
      </c>
      <c r="F1168" s="3">
        <v>13.04</v>
      </c>
      <c r="H1168" s="1" t="s">
        <v>14</v>
      </c>
      <c r="I1168" t="s">
        <v>781</v>
      </c>
      <c r="J1168" t="s">
        <v>271</v>
      </c>
      <c r="K1168" t="s">
        <v>272</v>
      </c>
      <c r="L1168" t="s">
        <v>273</v>
      </c>
    </row>
    <row r="1169" spans="1:12" ht="15">
      <c r="A1169" s="4">
        <v>201404</v>
      </c>
      <c r="B1169" t="s">
        <v>270</v>
      </c>
      <c r="C1169" s="5">
        <v>6535539</v>
      </c>
      <c r="D1169" s="2" t="s">
        <v>768</v>
      </c>
      <c r="E1169" s="2" t="s">
        <v>15</v>
      </c>
      <c r="F1169" s="3">
        <v>16.02</v>
      </c>
      <c r="H1169" s="1" t="s">
        <v>14</v>
      </c>
      <c r="I1169" t="s">
        <v>782</v>
      </c>
      <c r="J1169" t="s">
        <v>271</v>
      </c>
      <c r="K1169" t="s">
        <v>272</v>
      </c>
      <c r="L1169" t="s">
        <v>273</v>
      </c>
    </row>
    <row r="1170" spans="1:12" ht="15">
      <c r="A1170" s="4">
        <v>201404</v>
      </c>
      <c r="B1170" t="s">
        <v>270</v>
      </c>
      <c r="C1170" s="5">
        <v>6535539</v>
      </c>
      <c r="D1170" s="2" t="s">
        <v>768</v>
      </c>
      <c r="E1170" s="2" t="s">
        <v>15</v>
      </c>
      <c r="F1170" s="3">
        <v>20.91</v>
      </c>
      <c r="H1170" s="1" t="s">
        <v>14</v>
      </c>
      <c r="I1170" t="s">
        <v>783</v>
      </c>
      <c r="J1170" t="s">
        <v>271</v>
      </c>
      <c r="K1170" t="s">
        <v>272</v>
      </c>
      <c r="L1170" t="s">
        <v>273</v>
      </c>
    </row>
    <row r="1171" spans="1:12" ht="15">
      <c r="A1171" s="4">
        <v>201404</v>
      </c>
      <c r="B1171" t="s">
        <v>270</v>
      </c>
      <c r="C1171" s="5">
        <v>6535539</v>
      </c>
      <c r="D1171" s="2" t="s">
        <v>768</v>
      </c>
      <c r="E1171" s="2" t="s">
        <v>15</v>
      </c>
      <c r="F1171" s="3">
        <v>31.13</v>
      </c>
      <c r="H1171" s="1" t="s">
        <v>14</v>
      </c>
      <c r="I1171" t="s">
        <v>319</v>
      </c>
      <c r="J1171" t="s">
        <v>271</v>
      </c>
      <c r="K1171" t="s">
        <v>272</v>
      </c>
      <c r="L1171" t="s">
        <v>273</v>
      </c>
    </row>
    <row r="1172" spans="1:12" ht="15">
      <c r="A1172" s="4">
        <v>201404</v>
      </c>
      <c r="B1172" t="s">
        <v>270</v>
      </c>
      <c r="C1172" s="5">
        <v>6535539</v>
      </c>
      <c r="D1172" s="2" t="s">
        <v>768</v>
      </c>
      <c r="E1172" s="2" t="s">
        <v>15</v>
      </c>
      <c r="F1172" s="3">
        <v>105.17</v>
      </c>
      <c r="H1172" s="1" t="s">
        <v>14</v>
      </c>
      <c r="I1172" t="s">
        <v>41</v>
      </c>
      <c r="J1172" t="s">
        <v>271</v>
      </c>
      <c r="K1172" t="s">
        <v>272</v>
      </c>
      <c r="L1172" t="s">
        <v>273</v>
      </c>
    </row>
    <row r="1173" spans="1:14" ht="15">
      <c r="A1173" s="4">
        <v>201404</v>
      </c>
      <c r="B1173" t="s">
        <v>270</v>
      </c>
      <c r="C1173" s="5">
        <v>6535539</v>
      </c>
      <c r="D1173" s="2" t="s">
        <v>768</v>
      </c>
      <c r="E1173" s="2" t="s">
        <v>15</v>
      </c>
      <c r="F1173" s="3">
        <v>-423.15</v>
      </c>
      <c r="G1173" t="s">
        <v>57</v>
      </c>
      <c r="H1173" s="1" t="s">
        <v>44</v>
      </c>
      <c r="I1173">
        <f>-10762/108144/3</f>
        <v>-0.033171820288997386</v>
      </c>
      <c r="J1173" t="s">
        <v>271</v>
      </c>
      <c r="K1173" t="s">
        <v>272</v>
      </c>
      <c r="L1173" t="s">
        <v>273</v>
      </c>
      <c r="N1173" t="s">
        <v>58</v>
      </c>
    </row>
    <row r="1174" spans="1:14" ht="15">
      <c r="A1174" s="4">
        <v>201404</v>
      </c>
      <c r="B1174" t="s">
        <v>270</v>
      </c>
      <c r="C1174" s="5">
        <v>6535539</v>
      </c>
      <c r="D1174" s="2" t="s">
        <v>768</v>
      </c>
      <c r="E1174" s="2" t="s">
        <v>15</v>
      </c>
      <c r="F1174" s="3">
        <v>423.15</v>
      </c>
      <c r="G1174" t="s">
        <v>57</v>
      </c>
      <c r="H1174" s="1" t="s">
        <v>44</v>
      </c>
      <c r="I1174">
        <f>-10762/108144/1</f>
        <v>-0.09951546086699216</v>
      </c>
      <c r="J1174" t="s">
        <v>271</v>
      </c>
      <c r="K1174" t="s">
        <v>272</v>
      </c>
      <c r="L1174" t="s">
        <v>273</v>
      </c>
      <c r="N1174" t="s">
        <v>58</v>
      </c>
    </row>
    <row r="1175" spans="1:13" ht="15">
      <c r="A1175" s="4">
        <v>201404</v>
      </c>
      <c r="B1175" t="s">
        <v>270</v>
      </c>
      <c r="C1175" s="5">
        <v>6535539</v>
      </c>
      <c r="D1175" s="2" t="s">
        <v>768</v>
      </c>
      <c r="E1175" s="2" t="s">
        <v>15</v>
      </c>
      <c r="F1175" s="3">
        <v>1650</v>
      </c>
      <c r="G1175" t="s">
        <v>93</v>
      </c>
      <c r="H1175" s="1" t="s">
        <v>44</v>
      </c>
      <c r="I1175" t="s">
        <v>784</v>
      </c>
      <c r="J1175" t="s">
        <v>271</v>
      </c>
      <c r="K1175" t="s">
        <v>272</v>
      </c>
      <c r="L1175" t="s">
        <v>273</v>
      </c>
      <c r="M1175">
        <v>903187</v>
      </c>
    </row>
    <row r="1176" spans="1:13" ht="15">
      <c r="A1176" s="4">
        <v>201404</v>
      </c>
      <c r="B1176" t="s">
        <v>270</v>
      </c>
      <c r="C1176" s="5">
        <v>6535539</v>
      </c>
      <c r="D1176" s="2" t="s">
        <v>768</v>
      </c>
      <c r="E1176" s="2" t="s">
        <v>15</v>
      </c>
      <c r="F1176" s="3">
        <v>3362</v>
      </c>
      <c r="G1176" t="s">
        <v>785</v>
      </c>
      <c r="H1176" s="1" t="s">
        <v>44</v>
      </c>
      <c r="I1176" t="e">
        <f>-labor/MATERIAL-Hotwell pump Mechanical SEAL REPAIR</f>
        <v>#NAME?</v>
      </c>
      <c r="J1176" t="s">
        <v>271</v>
      </c>
      <c r="K1176" t="s">
        <v>272</v>
      </c>
      <c r="L1176" t="s">
        <v>273</v>
      </c>
      <c r="M1176">
        <v>902158</v>
      </c>
    </row>
    <row r="1177" spans="1:13" ht="15">
      <c r="A1177" s="4">
        <v>201404</v>
      </c>
      <c r="B1177" t="s">
        <v>270</v>
      </c>
      <c r="C1177" s="5">
        <v>6535539</v>
      </c>
      <c r="D1177" s="2" t="s">
        <v>768</v>
      </c>
      <c r="E1177" s="2" t="s">
        <v>15</v>
      </c>
      <c r="F1177" s="3">
        <v>7052.5</v>
      </c>
      <c r="G1177" t="s">
        <v>93</v>
      </c>
      <c r="H1177" s="1" t="s">
        <v>44</v>
      </c>
      <c r="I1177" t="s">
        <v>786</v>
      </c>
      <c r="J1177" t="s">
        <v>271</v>
      </c>
      <c r="K1177" t="s">
        <v>272</v>
      </c>
      <c r="L1177" t="s">
        <v>273</v>
      </c>
      <c r="M1177">
        <v>902470</v>
      </c>
    </row>
    <row r="1178" spans="1:12" ht="15">
      <c r="A1178" s="4">
        <v>201404</v>
      </c>
      <c r="B1178" t="s">
        <v>270</v>
      </c>
      <c r="C1178" s="5">
        <v>6535539</v>
      </c>
      <c r="D1178" s="2" t="s">
        <v>768</v>
      </c>
      <c r="E1178" s="2" t="s">
        <v>15</v>
      </c>
      <c r="F1178" s="3">
        <v>-538.25</v>
      </c>
      <c r="G1178" t="s">
        <v>93</v>
      </c>
      <c r="H1178" s="1" t="s">
        <v>78</v>
      </c>
      <c r="I1178" t="s">
        <v>786</v>
      </c>
      <c r="J1178" t="s">
        <v>271</v>
      </c>
      <c r="K1178" t="s">
        <v>272</v>
      </c>
      <c r="L1178" t="s">
        <v>273</v>
      </c>
    </row>
    <row r="1179" spans="1:14" ht="15">
      <c r="A1179" s="4">
        <v>201404</v>
      </c>
      <c r="B1179" t="s">
        <v>270</v>
      </c>
      <c r="C1179" s="5">
        <v>6535539</v>
      </c>
      <c r="D1179" s="2" t="s">
        <v>768</v>
      </c>
      <c r="E1179" s="2" t="s">
        <v>15</v>
      </c>
      <c r="F1179" s="3">
        <v>-32.3</v>
      </c>
      <c r="G1179" t="s">
        <v>57</v>
      </c>
      <c r="H1179" s="1" t="s">
        <v>78</v>
      </c>
      <c r="I1179">
        <f>-10762/108144/4</f>
        <v>-0.02487886521674804</v>
      </c>
      <c r="J1179" t="s">
        <v>271</v>
      </c>
      <c r="K1179" t="s">
        <v>272</v>
      </c>
      <c r="L1179" t="s">
        <v>273</v>
      </c>
      <c r="N1179" t="s">
        <v>58</v>
      </c>
    </row>
    <row r="1180" spans="1:14" ht="15">
      <c r="A1180" s="4">
        <v>201404</v>
      </c>
      <c r="B1180" t="s">
        <v>270</v>
      </c>
      <c r="C1180" s="5">
        <v>6535539</v>
      </c>
      <c r="D1180" s="2" t="s">
        <v>768</v>
      </c>
      <c r="E1180" s="2" t="s">
        <v>15</v>
      </c>
      <c r="F1180" s="3">
        <v>32.3</v>
      </c>
      <c r="G1180" t="s">
        <v>57</v>
      </c>
      <c r="H1180" s="1" t="s">
        <v>78</v>
      </c>
      <c r="I1180">
        <f>-10762/108144/2</f>
        <v>-0.04975773043349608</v>
      </c>
      <c r="J1180" t="s">
        <v>271</v>
      </c>
      <c r="K1180" t="s">
        <v>272</v>
      </c>
      <c r="L1180" t="s">
        <v>273</v>
      </c>
      <c r="N1180" t="s">
        <v>58</v>
      </c>
    </row>
    <row r="1181" spans="1:13" ht="15">
      <c r="A1181" s="4">
        <v>201404</v>
      </c>
      <c r="B1181" t="s">
        <v>270</v>
      </c>
      <c r="C1181" s="5">
        <v>6535539</v>
      </c>
      <c r="D1181" s="2" t="s">
        <v>768</v>
      </c>
      <c r="E1181" s="2" t="s">
        <v>15</v>
      </c>
      <c r="F1181" s="3">
        <v>538.25</v>
      </c>
      <c r="G1181" t="s">
        <v>93</v>
      </c>
      <c r="H1181" s="1" t="s">
        <v>78</v>
      </c>
      <c r="I1181" t="s">
        <v>786</v>
      </c>
      <c r="J1181" t="s">
        <v>271</v>
      </c>
      <c r="K1181" t="s">
        <v>272</v>
      </c>
      <c r="L1181" t="s">
        <v>273</v>
      </c>
      <c r="M1181">
        <v>902470</v>
      </c>
    </row>
    <row r="1182" spans="1:13" ht="15">
      <c r="A1182" s="4">
        <v>201403</v>
      </c>
      <c r="B1182" t="s">
        <v>270</v>
      </c>
      <c r="C1182" s="5">
        <v>6535539</v>
      </c>
      <c r="D1182" s="2" t="s">
        <v>768</v>
      </c>
      <c r="E1182" s="2" t="s">
        <v>15</v>
      </c>
      <c r="F1182" s="3">
        <v>446.7</v>
      </c>
      <c r="G1182" t="s">
        <v>73</v>
      </c>
      <c r="H1182" s="1" t="s">
        <v>46</v>
      </c>
      <c r="I1182" t="s">
        <v>94</v>
      </c>
      <c r="J1182" t="s">
        <v>271</v>
      </c>
      <c r="K1182" t="s">
        <v>272</v>
      </c>
      <c r="L1182" t="s">
        <v>273</v>
      </c>
      <c r="M1182">
        <v>902317</v>
      </c>
    </row>
    <row r="1183" spans="1:13" ht="15">
      <c r="A1183" s="4">
        <v>201404</v>
      </c>
      <c r="B1183" t="s">
        <v>270</v>
      </c>
      <c r="C1183" s="5">
        <v>6535539</v>
      </c>
      <c r="D1183" s="2" t="s">
        <v>768</v>
      </c>
      <c r="E1183" s="2" t="s">
        <v>15</v>
      </c>
      <c r="F1183" s="3">
        <v>291.68</v>
      </c>
      <c r="G1183" t="s">
        <v>55</v>
      </c>
      <c r="H1183" s="1" t="s">
        <v>46</v>
      </c>
      <c r="I1183" t="s">
        <v>787</v>
      </c>
      <c r="J1183" t="s">
        <v>271</v>
      </c>
      <c r="K1183" t="s">
        <v>272</v>
      </c>
      <c r="L1183" t="s">
        <v>273</v>
      </c>
      <c r="M1183">
        <v>903188</v>
      </c>
    </row>
    <row r="1184" spans="1:13" ht="15">
      <c r="A1184" s="4">
        <v>201404</v>
      </c>
      <c r="B1184" t="s">
        <v>270</v>
      </c>
      <c r="C1184" s="5">
        <v>6535539</v>
      </c>
      <c r="D1184" s="2" t="s">
        <v>768</v>
      </c>
      <c r="E1184" s="2" t="s">
        <v>15</v>
      </c>
      <c r="F1184" s="3">
        <v>364.6</v>
      </c>
      <c r="G1184" t="s">
        <v>55</v>
      </c>
      <c r="H1184" s="1" t="s">
        <v>46</v>
      </c>
      <c r="I1184" t="s">
        <v>788</v>
      </c>
      <c r="J1184" t="s">
        <v>271</v>
      </c>
      <c r="K1184" t="s">
        <v>272</v>
      </c>
      <c r="L1184" t="s">
        <v>273</v>
      </c>
      <c r="M1184">
        <v>903188</v>
      </c>
    </row>
    <row r="1185" spans="1:13" ht="15">
      <c r="A1185" s="4">
        <v>201404</v>
      </c>
      <c r="B1185" t="s">
        <v>270</v>
      </c>
      <c r="C1185" s="5">
        <v>6535539</v>
      </c>
      <c r="D1185" s="2" t="s">
        <v>768</v>
      </c>
      <c r="E1185" s="2" t="s">
        <v>15</v>
      </c>
      <c r="F1185" s="3">
        <v>401.06</v>
      </c>
      <c r="G1185" t="s">
        <v>55</v>
      </c>
      <c r="H1185" s="1" t="s">
        <v>46</v>
      </c>
      <c r="I1185" t="s">
        <v>789</v>
      </c>
      <c r="J1185" t="s">
        <v>271</v>
      </c>
      <c r="K1185" t="s">
        <v>272</v>
      </c>
      <c r="L1185" t="s">
        <v>273</v>
      </c>
      <c r="M1185">
        <v>903188</v>
      </c>
    </row>
    <row r="1186" spans="1:13" ht="15">
      <c r="A1186" s="4">
        <v>201404</v>
      </c>
      <c r="B1186" t="s">
        <v>270</v>
      </c>
      <c r="C1186" s="5">
        <v>6535539</v>
      </c>
      <c r="D1186" s="2" t="s">
        <v>768</v>
      </c>
      <c r="E1186" s="2" t="s">
        <v>15</v>
      </c>
      <c r="F1186" s="3">
        <v>1145.29</v>
      </c>
      <c r="G1186" t="s">
        <v>49</v>
      </c>
      <c r="H1186" s="1" t="s">
        <v>46</v>
      </c>
      <c r="I1186" t="s">
        <v>790</v>
      </c>
      <c r="J1186" t="s">
        <v>271</v>
      </c>
      <c r="K1186" t="s">
        <v>272</v>
      </c>
      <c r="L1186" t="s">
        <v>273</v>
      </c>
      <c r="M1186">
        <v>902990</v>
      </c>
    </row>
    <row r="1187" spans="1:13" ht="15">
      <c r="A1187" s="4">
        <v>201404</v>
      </c>
      <c r="B1187" t="s">
        <v>270</v>
      </c>
      <c r="C1187" s="5">
        <v>6535539</v>
      </c>
      <c r="D1187" s="2" t="s">
        <v>768</v>
      </c>
      <c r="E1187" s="2" t="s">
        <v>15</v>
      </c>
      <c r="F1187" s="3">
        <v>3305.77</v>
      </c>
      <c r="G1187" t="s">
        <v>49</v>
      </c>
      <c r="H1187" s="1" t="s">
        <v>46</v>
      </c>
      <c r="I1187" t="s">
        <v>791</v>
      </c>
      <c r="J1187" t="s">
        <v>271</v>
      </c>
      <c r="K1187" t="s">
        <v>272</v>
      </c>
      <c r="L1187" t="s">
        <v>273</v>
      </c>
      <c r="M1187">
        <v>903723</v>
      </c>
    </row>
    <row r="1188" spans="1:13" ht="15">
      <c r="A1188" s="4">
        <v>201404</v>
      </c>
      <c r="B1188" t="s">
        <v>270</v>
      </c>
      <c r="C1188" s="5">
        <v>6535539</v>
      </c>
      <c r="D1188" s="2" t="s">
        <v>768</v>
      </c>
      <c r="E1188" s="2" t="s">
        <v>15</v>
      </c>
      <c r="F1188" s="3">
        <v>4161.72</v>
      </c>
      <c r="G1188" t="s">
        <v>49</v>
      </c>
      <c r="H1188" s="1" t="s">
        <v>46</v>
      </c>
      <c r="I1188" t="s">
        <v>792</v>
      </c>
      <c r="J1188" t="s">
        <v>271</v>
      </c>
      <c r="K1188" t="s">
        <v>272</v>
      </c>
      <c r="L1188" t="s">
        <v>273</v>
      </c>
      <c r="M1188">
        <v>903434</v>
      </c>
    </row>
    <row r="1189" spans="1:13" ht="15">
      <c r="A1189" s="4">
        <v>201404</v>
      </c>
      <c r="B1189" t="s">
        <v>270</v>
      </c>
      <c r="C1189" s="5">
        <v>6535539</v>
      </c>
      <c r="D1189" s="2" t="s">
        <v>768</v>
      </c>
      <c r="E1189" s="2" t="s">
        <v>15</v>
      </c>
      <c r="F1189" s="3">
        <v>5117.16</v>
      </c>
      <c r="G1189" t="s">
        <v>49</v>
      </c>
      <c r="H1189" s="1" t="s">
        <v>46</v>
      </c>
      <c r="I1189" t="s">
        <v>793</v>
      </c>
      <c r="J1189" t="s">
        <v>271</v>
      </c>
      <c r="K1189" t="s">
        <v>272</v>
      </c>
      <c r="L1189" t="s">
        <v>273</v>
      </c>
      <c r="M1189">
        <v>903434</v>
      </c>
    </row>
    <row r="1190" spans="1:13" ht="15">
      <c r="A1190" s="4">
        <v>201405</v>
      </c>
      <c r="B1190" t="s">
        <v>270</v>
      </c>
      <c r="C1190" s="5">
        <v>6535539</v>
      </c>
      <c r="D1190" s="2" t="s">
        <v>768</v>
      </c>
      <c r="E1190" s="2" t="s">
        <v>15</v>
      </c>
      <c r="F1190" s="3">
        <v>170.59</v>
      </c>
      <c r="G1190" t="s">
        <v>73</v>
      </c>
      <c r="H1190" s="1" t="s">
        <v>46</v>
      </c>
      <c r="I1190" t="s">
        <v>95</v>
      </c>
      <c r="J1190" t="s">
        <v>271</v>
      </c>
      <c r="K1190" t="s">
        <v>272</v>
      </c>
      <c r="L1190" t="s">
        <v>273</v>
      </c>
      <c r="M1190">
        <v>904872</v>
      </c>
    </row>
    <row r="1191" spans="1:13" ht="15">
      <c r="A1191" s="4">
        <v>201406</v>
      </c>
      <c r="B1191" t="s">
        <v>270</v>
      </c>
      <c r="C1191" s="5">
        <v>6535539</v>
      </c>
      <c r="D1191" s="2" t="s">
        <v>768</v>
      </c>
      <c r="E1191" s="2" t="s">
        <v>15</v>
      </c>
      <c r="F1191" s="3">
        <v>134.79</v>
      </c>
      <c r="G1191" t="s">
        <v>55</v>
      </c>
      <c r="H1191" s="1" t="s">
        <v>46</v>
      </c>
      <c r="I1191" t="s">
        <v>794</v>
      </c>
      <c r="J1191" t="s">
        <v>271</v>
      </c>
      <c r="K1191" t="s">
        <v>272</v>
      </c>
      <c r="L1191" t="s">
        <v>273</v>
      </c>
      <c r="M1191">
        <v>907456</v>
      </c>
    </row>
    <row r="1192" spans="1:13" ht="15">
      <c r="A1192" s="4">
        <v>201406</v>
      </c>
      <c r="B1192" t="s">
        <v>270</v>
      </c>
      <c r="C1192" s="5">
        <v>6535539</v>
      </c>
      <c r="D1192" s="2" t="s">
        <v>768</v>
      </c>
      <c r="E1192" s="2" t="s">
        <v>15</v>
      </c>
      <c r="F1192" s="3">
        <v>699.35</v>
      </c>
      <c r="G1192" t="s">
        <v>49</v>
      </c>
      <c r="H1192" s="1" t="s">
        <v>46</v>
      </c>
      <c r="I1192" t="s">
        <v>247</v>
      </c>
      <c r="J1192" t="s">
        <v>271</v>
      </c>
      <c r="K1192" t="s">
        <v>272</v>
      </c>
      <c r="L1192" t="s">
        <v>273</v>
      </c>
      <c r="M1192">
        <v>907455</v>
      </c>
    </row>
    <row r="1193" spans="1:13" ht="15">
      <c r="A1193" s="4">
        <v>201407</v>
      </c>
      <c r="B1193" t="s">
        <v>270</v>
      </c>
      <c r="C1193" s="5">
        <v>6535539</v>
      </c>
      <c r="D1193" s="2" t="s">
        <v>768</v>
      </c>
      <c r="E1193" s="2" t="s">
        <v>15</v>
      </c>
      <c r="F1193" s="3">
        <v>364.66</v>
      </c>
      <c r="G1193" t="s">
        <v>73</v>
      </c>
      <c r="H1193" s="1" t="s">
        <v>46</v>
      </c>
      <c r="I1193" t="s">
        <v>75</v>
      </c>
      <c r="J1193" t="s">
        <v>271</v>
      </c>
      <c r="K1193" t="s">
        <v>272</v>
      </c>
      <c r="L1193" t="s">
        <v>273</v>
      </c>
      <c r="M1193">
        <v>908282</v>
      </c>
    </row>
    <row r="1194" spans="1:13" ht="15">
      <c r="A1194" s="4">
        <v>201407</v>
      </c>
      <c r="B1194" t="s">
        <v>270</v>
      </c>
      <c r="C1194" s="5">
        <v>6535539</v>
      </c>
      <c r="D1194" s="2" t="s">
        <v>768</v>
      </c>
      <c r="E1194" s="2" t="s">
        <v>15</v>
      </c>
      <c r="F1194" s="3">
        <v>372.96</v>
      </c>
      <c r="G1194" t="s">
        <v>49</v>
      </c>
      <c r="H1194" s="1" t="s">
        <v>46</v>
      </c>
      <c r="I1194" t="s">
        <v>795</v>
      </c>
      <c r="J1194" t="s">
        <v>271</v>
      </c>
      <c r="K1194" t="s">
        <v>272</v>
      </c>
      <c r="L1194" t="s">
        <v>273</v>
      </c>
      <c r="M1194">
        <v>908662</v>
      </c>
    </row>
    <row r="1195" spans="1:13" ht="15">
      <c r="A1195" s="4">
        <v>201407</v>
      </c>
      <c r="B1195" t="s">
        <v>270</v>
      </c>
      <c r="C1195" s="5">
        <v>6535539</v>
      </c>
      <c r="D1195" s="2" t="s">
        <v>768</v>
      </c>
      <c r="E1195" s="2" t="s">
        <v>15</v>
      </c>
      <c r="F1195" s="3">
        <v>449.41</v>
      </c>
      <c r="G1195" t="s">
        <v>49</v>
      </c>
      <c r="H1195" s="1" t="s">
        <v>46</v>
      </c>
      <c r="I1195" t="s">
        <v>796</v>
      </c>
      <c r="J1195" t="s">
        <v>271</v>
      </c>
      <c r="K1195" t="s">
        <v>272</v>
      </c>
      <c r="L1195" t="s">
        <v>273</v>
      </c>
      <c r="M1195">
        <v>908662</v>
      </c>
    </row>
    <row r="1196" spans="1:13" ht="15">
      <c r="A1196" s="4">
        <v>201407</v>
      </c>
      <c r="B1196" t="s">
        <v>270</v>
      </c>
      <c r="C1196" s="5">
        <v>6535539</v>
      </c>
      <c r="D1196" s="2" t="s">
        <v>768</v>
      </c>
      <c r="E1196" s="2" t="s">
        <v>15</v>
      </c>
      <c r="F1196" s="3">
        <v>1876.73</v>
      </c>
      <c r="G1196" t="s">
        <v>49</v>
      </c>
      <c r="H1196" s="1" t="s">
        <v>46</v>
      </c>
      <c r="I1196" t="s">
        <v>797</v>
      </c>
      <c r="J1196" t="s">
        <v>271</v>
      </c>
      <c r="K1196" t="s">
        <v>272</v>
      </c>
      <c r="L1196" t="s">
        <v>273</v>
      </c>
      <c r="M1196">
        <v>908662</v>
      </c>
    </row>
    <row r="1197" spans="1:13" ht="15">
      <c r="A1197" s="4">
        <v>201408</v>
      </c>
      <c r="B1197" t="s">
        <v>270</v>
      </c>
      <c r="C1197" s="5">
        <v>6535539</v>
      </c>
      <c r="D1197" s="2" t="s">
        <v>768</v>
      </c>
      <c r="E1197" s="2" t="s">
        <v>15</v>
      </c>
      <c r="F1197" s="3">
        <v>38.48</v>
      </c>
      <c r="G1197" t="s">
        <v>55</v>
      </c>
      <c r="H1197" s="1" t="s">
        <v>46</v>
      </c>
      <c r="I1197" t="s">
        <v>798</v>
      </c>
      <c r="J1197" t="s">
        <v>271</v>
      </c>
      <c r="K1197" t="s">
        <v>272</v>
      </c>
      <c r="L1197" t="s">
        <v>273</v>
      </c>
      <c r="M1197">
        <v>909657</v>
      </c>
    </row>
    <row r="1198" spans="1:14" ht="15">
      <c r="A1198" s="4">
        <v>201404</v>
      </c>
      <c r="B1198" t="s">
        <v>270</v>
      </c>
      <c r="C1198" s="5">
        <v>6535539</v>
      </c>
      <c r="D1198" s="2" t="s">
        <v>768</v>
      </c>
      <c r="E1198" s="2" t="s">
        <v>15</v>
      </c>
      <c r="F1198" s="3">
        <v>8.46</v>
      </c>
      <c r="G1198" t="s">
        <v>57</v>
      </c>
      <c r="H1198" s="1" t="s">
        <v>56</v>
      </c>
      <c r="I1198">
        <f>-69485/18861/1</f>
        <v>-3.68405704893696</v>
      </c>
      <c r="J1198" t="s">
        <v>271</v>
      </c>
      <c r="K1198" t="s">
        <v>272</v>
      </c>
      <c r="L1198" t="s">
        <v>273</v>
      </c>
      <c r="N1198" t="s">
        <v>58</v>
      </c>
    </row>
    <row r="1199" spans="1:13" ht="15">
      <c r="A1199" s="4">
        <v>201404</v>
      </c>
      <c r="B1199" t="s">
        <v>270</v>
      </c>
      <c r="C1199" s="5">
        <v>6535539</v>
      </c>
      <c r="D1199" s="2" t="s">
        <v>768</v>
      </c>
      <c r="E1199" s="2" t="s">
        <v>15</v>
      </c>
      <c r="F1199" s="3">
        <v>139.6</v>
      </c>
      <c r="G1199" t="s">
        <v>799</v>
      </c>
      <c r="H1199" s="1" t="s">
        <v>56</v>
      </c>
      <c r="I1199" t="s">
        <v>800</v>
      </c>
      <c r="J1199" t="s">
        <v>271</v>
      </c>
      <c r="K1199" t="s">
        <v>272</v>
      </c>
      <c r="L1199" t="s">
        <v>273</v>
      </c>
      <c r="M1199">
        <v>902406</v>
      </c>
    </row>
    <row r="1200" spans="1:12" ht="15">
      <c r="A1200" s="4">
        <v>201412</v>
      </c>
      <c r="B1200" t="s">
        <v>270</v>
      </c>
      <c r="C1200" s="5">
        <v>6535539</v>
      </c>
      <c r="D1200" s="2" t="s">
        <v>768</v>
      </c>
      <c r="E1200" s="2" t="s">
        <v>15</v>
      </c>
      <c r="F1200" s="3">
        <v>15560</v>
      </c>
      <c r="H1200" s="1" t="s">
        <v>248</v>
      </c>
      <c r="I1200" t="s">
        <v>801</v>
      </c>
      <c r="J1200" t="s">
        <v>271</v>
      </c>
      <c r="K1200" t="s">
        <v>272</v>
      </c>
      <c r="L1200" t="s">
        <v>273</v>
      </c>
    </row>
    <row r="1201" spans="1:14" ht="15">
      <c r="A1201" s="4">
        <v>201404</v>
      </c>
      <c r="B1201" t="s">
        <v>270</v>
      </c>
      <c r="C1201" s="5">
        <v>6535539</v>
      </c>
      <c r="D1201" s="2" t="s">
        <v>768</v>
      </c>
      <c r="E1201" s="2" t="s">
        <v>15</v>
      </c>
      <c r="F1201" s="3">
        <v>-0.33</v>
      </c>
      <c r="G1201" t="s">
        <v>57</v>
      </c>
      <c r="H1201" s="1" t="s">
        <v>60</v>
      </c>
      <c r="I1201" t="e">
        <f>-51223/ECR3672IN/2</f>
        <v>#NAME?</v>
      </c>
      <c r="J1201" t="s">
        <v>271</v>
      </c>
      <c r="K1201" t="s">
        <v>272</v>
      </c>
      <c r="L1201" t="s">
        <v>273</v>
      </c>
      <c r="N1201" t="s">
        <v>58</v>
      </c>
    </row>
    <row r="1202" spans="1:14" ht="15">
      <c r="A1202" s="4">
        <v>201404</v>
      </c>
      <c r="B1202" t="s">
        <v>270</v>
      </c>
      <c r="C1202" s="5">
        <v>6535539</v>
      </c>
      <c r="D1202" s="2" t="s">
        <v>768</v>
      </c>
      <c r="E1202" s="2" t="s">
        <v>15</v>
      </c>
      <c r="F1202" s="3">
        <v>16.52</v>
      </c>
      <c r="G1202" t="s">
        <v>57</v>
      </c>
      <c r="H1202" s="1" t="s">
        <v>60</v>
      </c>
      <c r="I1202" t="e">
        <f>-51223/ECR3672IN/1</f>
        <v>#NAME?</v>
      </c>
      <c r="J1202" t="s">
        <v>271</v>
      </c>
      <c r="K1202" t="s">
        <v>272</v>
      </c>
      <c r="L1202" t="s">
        <v>273</v>
      </c>
      <c r="N1202" t="s">
        <v>58</v>
      </c>
    </row>
    <row r="1203" spans="1:14" ht="15">
      <c r="A1203" s="4">
        <v>201404</v>
      </c>
      <c r="B1203" t="s">
        <v>270</v>
      </c>
      <c r="C1203" s="5">
        <v>6535539</v>
      </c>
      <c r="D1203" s="2" t="s">
        <v>768</v>
      </c>
      <c r="E1203" s="2" t="s">
        <v>15</v>
      </c>
      <c r="F1203" s="3">
        <v>32.3</v>
      </c>
      <c r="G1203" t="s">
        <v>57</v>
      </c>
      <c r="H1203" s="1" t="s">
        <v>60</v>
      </c>
      <c r="I1203">
        <f>-10762/108144/1</f>
        <v>-0.09951546086699216</v>
      </c>
      <c r="J1203" t="s">
        <v>271</v>
      </c>
      <c r="K1203" t="s">
        <v>272</v>
      </c>
      <c r="L1203" t="s">
        <v>273</v>
      </c>
      <c r="N1203" t="s">
        <v>58</v>
      </c>
    </row>
    <row r="1204" spans="1:13" ht="15">
      <c r="A1204" s="4">
        <v>201404</v>
      </c>
      <c r="B1204" t="s">
        <v>270</v>
      </c>
      <c r="C1204" s="5">
        <v>6535539</v>
      </c>
      <c r="D1204" s="2" t="s">
        <v>768</v>
      </c>
      <c r="E1204" s="2" t="s">
        <v>15</v>
      </c>
      <c r="F1204" s="3">
        <v>175</v>
      </c>
      <c r="G1204" t="s">
        <v>802</v>
      </c>
      <c r="H1204" s="1" t="s">
        <v>60</v>
      </c>
      <c r="I1204" t="s">
        <v>803</v>
      </c>
      <c r="J1204" t="s">
        <v>271</v>
      </c>
      <c r="K1204" t="s">
        <v>272</v>
      </c>
      <c r="L1204" t="s">
        <v>273</v>
      </c>
      <c r="M1204">
        <v>902471</v>
      </c>
    </row>
    <row r="1205" spans="1:13" ht="15">
      <c r="A1205" s="4">
        <v>201404</v>
      </c>
      <c r="B1205" t="s">
        <v>270</v>
      </c>
      <c r="C1205" s="5">
        <v>6535539</v>
      </c>
      <c r="D1205" s="2" t="s">
        <v>768</v>
      </c>
      <c r="E1205" s="2" t="s">
        <v>15</v>
      </c>
      <c r="F1205" s="3">
        <v>269.89</v>
      </c>
      <c r="G1205" t="s">
        <v>249</v>
      </c>
      <c r="H1205" s="1" t="s">
        <v>60</v>
      </c>
      <c r="I1205" t="s">
        <v>804</v>
      </c>
      <c r="J1205" t="s">
        <v>271</v>
      </c>
      <c r="K1205" t="s">
        <v>272</v>
      </c>
      <c r="L1205" t="s">
        <v>273</v>
      </c>
      <c r="M1205">
        <v>901279</v>
      </c>
    </row>
    <row r="1206" spans="1:13" ht="15">
      <c r="A1206" s="4">
        <v>201404</v>
      </c>
      <c r="B1206" t="s">
        <v>270</v>
      </c>
      <c r="C1206" s="5">
        <v>6535539</v>
      </c>
      <c r="D1206" s="2" t="s">
        <v>768</v>
      </c>
      <c r="E1206" s="2" t="s">
        <v>15</v>
      </c>
      <c r="F1206" s="3">
        <v>350</v>
      </c>
      <c r="G1206" t="s">
        <v>802</v>
      </c>
      <c r="H1206" s="1" t="s">
        <v>60</v>
      </c>
      <c r="I1206" t="s">
        <v>805</v>
      </c>
      <c r="J1206" t="s">
        <v>271</v>
      </c>
      <c r="K1206" t="s">
        <v>272</v>
      </c>
      <c r="L1206" t="s">
        <v>273</v>
      </c>
      <c r="M1206">
        <v>902471</v>
      </c>
    </row>
    <row r="1207" spans="1:12" ht="15">
      <c r="A1207" s="4">
        <v>201404</v>
      </c>
      <c r="B1207" t="s">
        <v>270</v>
      </c>
      <c r="C1207" s="5">
        <v>6535539</v>
      </c>
      <c r="D1207" s="2" t="s">
        <v>768</v>
      </c>
      <c r="E1207" s="2" t="s">
        <v>15</v>
      </c>
      <c r="F1207" s="3">
        <v>538.25</v>
      </c>
      <c r="G1207" t="s">
        <v>93</v>
      </c>
      <c r="H1207" s="1" t="s">
        <v>60</v>
      </c>
      <c r="I1207" t="s">
        <v>786</v>
      </c>
      <c r="J1207" t="s">
        <v>271</v>
      </c>
      <c r="K1207" t="s">
        <v>272</v>
      </c>
      <c r="L1207" t="s">
        <v>273</v>
      </c>
    </row>
    <row r="1208" spans="1:12" ht="15">
      <c r="A1208" s="4">
        <v>201402</v>
      </c>
      <c r="B1208" t="s">
        <v>270</v>
      </c>
      <c r="C1208" s="5">
        <v>6535539</v>
      </c>
      <c r="D1208" s="2" t="s">
        <v>768</v>
      </c>
      <c r="E1208" s="2" t="s">
        <v>15</v>
      </c>
      <c r="F1208" s="3">
        <v>0.15</v>
      </c>
      <c r="H1208" s="1" t="s">
        <v>66</v>
      </c>
      <c r="I1208" t="s">
        <v>67</v>
      </c>
      <c r="J1208" t="s">
        <v>271</v>
      </c>
      <c r="K1208" t="s">
        <v>272</v>
      </c>
      <c r="L1208" t="s">
        <v>273</v>
      </c>
    </row>
    <row r="1209" spans="1:12" ht="15">
      <c r="A1209" s="4">
        <v>201403</v>
      </c>
      <c r="B1209" t="s">
        <v>270</v>
      </c>
      <c r="C1209" s="5">
        <v>6535539</v>
      </c>
      <c r="D1209" s="2" t="s">
        <v>768</v>
      </c>
      <c r="E1209" s="2" t="s">
        <v>15</v>
      </c>
      <c r="F1209" s="3">
        <v>38.84</v>
      </c>
      <c r="H1209" s="1" t="s">
        <v>66</v>
      </c>
      <c r="I1209" t="s">
        <v>67</v>
      </c>
      <c r="J1209" t="s">
        <v>271</v>
      </c>
      <c r="K1209" t="s">
        <v>272</v>
      </c>
      <c r="L1209" t="s">
        <v>273</v>
      </c>
    </row>
    <row r="1210" spans="1:12" ht="15">
      <c r="A1210" s="4">
        <v>201404</v>
      </c>
      <c r="B1210" t="s">
        <v>270</v>
      </c>
      <c r="C1210" s="5">
        <v>6535539</v>
      </c>
      <c r="D1210" s="2" t="s">
        <v>768</v>
      </c>
      <c r="E1210" s="2" t="s">
        <v>15</v>
      </c>
      <c r="F1210" s="3">
        <v>5.87</v>
      </c>
      <c r="H1210" s="1" t="s">
        <v>66</v>
      </c>
      <c r="I1210" t="s">
        <v>67</v>
      </c>
      <c r="J1210" t="s">
        <v>271</v>
      </c>
      <c r="K1210" t="s">
        <v>272</v>
      </c>
      <c r="L1210" t="s">
        <v>273</v>
      </c>
    </row>
    <row r="1211" spans="1:12" ht="15">
      <c r="A1211" s="4">
        <v>201403</v>
      </c>
      <c r="B1211" t="s">
        <v>270</v>
      </c>
      <c r="C1211" s="5">
        <v>6535539</v>
      </c>
      <c r="D1211" s="2" t="s">
        <v>768</v>
      </c>
      <c r="E1211" s="2" t="s">
        <v>15</v>
      </c>
      <c r="F1211" s="3">
        <v>0</v>
      </c>
      <c r="H1211" s="1" t="s">
        <v>68</v>
      </c>
      <c r="J1211" t="s">
        <v>271</v>
      </c>
      <c r="K1211" t="s">
        <v>272</v>
      </c>
      <c r="L1211" t="s">
        <v>273</v>
      </c>
    </row>
    <row r="1212" spans="1:12" ht="15">
      <c r="A1212" s="4">
        <v>201403</v>
      </c>
      <c r="B1212" t="s">
        <v>270</v>
      </c>
      <c r="C1212" s="5">
        <v>6535539</v>
      </c>
      <c r="D1212" s="2" t="s">
        <v>768</v>
      </c>
      <c r="E1212" s="2" t="s">
        <v>15</v>
      </c>
      <c r="F1212" s="3">
        <v>0</v>
      </c>
      <c r="H1212" s="1" t="s">
        <v>68</v>
      </c>
      <c r="J1212" t="s">
        <v>271</v>
      </c>
      <c r="K1212" t="s">
        <v>272</v>
      </c>
      <c r="L1212" t="s">
        <v>273</v>
      </c>
    </row>
    <row r="1213" spans="1:12" ht="15">
      <c r="A1213" s="4">
        <v>201403</v>
      </c>
      <c r="B1213" t="s">
        <v>270</v>
      </c>
      <c r="C1213" s="5">
        <v>6535539</v>
      </c>
      <c r="D1213" s="2" t="s">
        <v>768</v>
      </c>
      <c r="E1213" s="2" t="s">
        <v>15</v>
      </c>
      <c r="F1213" s="3">
        <v>0</v>
      </c>
      <c r="H1213" s="1" t="s">
        <v>68</v>
      </c>
      <c r="J1213" t="s">
        <v>271</v>
      </c>
      <c r="K1213" t="s">
        <v>272</v>
      </c>
      <c r="L1213" t="s">
        <v>273</v>
      </c>
    </row>
    <row r="1214" spans="1:12" ht="15">
      <c r="A1214" s="4">
        <v>201403</v>
      </c>
      <c r="B1214" t="s">
        <v>270</v>
      </c>
      <c r="C1214" s="5">
        <v>6535539</v>
      </c>
      <c r="D1214" s="2" t="s">
        <v>768</v>
      </c>
      <c r="E1214" s="2" t="s">
        <v>15</v>
      </c>
      <c r="F1214" s="3">
        <v>24</v>
      </c>
      <c r="H1214" s="1" t="s">
        <v>68</v>
      </c>
      <c r="J1214" t="s">
        <v>271</v>
      </c>
      <c r="K1214" t="s">
        <v>272</v>
      </c>
      <c r="L1214" t="s">
        <v>273</v>
      </c>
    </row>
    <row r="1215" spans="1:14" ht="15">
      <c r="A1215" s="4">
        <v>201404</v>
      </c>
      <c r="B1215" t="s">
        <v>270</v>
      </c>
      <c r="C1215" s="5">
        <v>6535539</v>
      </c>
      <c r="D1215" s="2" t="s">
        <v>768</v>
      </c>
      <c r="E1215" s="2" t="s">
        <v>15</v>
      </c>
      <c r="F1215" s="3">
        <v>0.68</v>
      </c>
      <c r="G1215" t="s">
        <v>57</v>
      </c>
      <c r="H1215" s="1" t="s">
        <v>69</v>
      </c>
      <c r="I1215" t="e">
        <f>-51223/ECR3672IN/1</f>
        <v>#NAME?</v>
      </c>
      <c r="J1215" t="s">
        <v>271</v>
      </c>
      <c r="K1215" t="s">
        <v>272</v>
      </c>
      <c r="L1215" t="s">
        <v>273</v>
      </c>
      <c r="N1215" t="s">
        <v>58</v>
      </c>
    </row>
    <row r="1216" spans="1:14" ht="15">
      <c r="A1216" s="4">
        <v>201404</v>
      </c>
      <c r="B1216" t="s">
        <v>270</v>
      </c>
      <c r="C1216" s="5">
        <v>6535539</v>
      </c>
      <c r="D1216" s="2" t="s">
        <v>768</v>
      </c>
      <c r="E1216" s="2" t="s">
        <v>15</v>
      </c>
      <c r="F1216" s="3">
        <v>1.26</v>
      </c>
      <c r="G1216" t="s">
        <v>57</v>
      </c>
      <c r="H1216" s="1" t="s">
        <v>69</v>
      </c>
      <c r="I1216" t="s">
        <v>806</v>
      </c>
      <c r="J1216" t="s">
        <v>271</v>
      </c>
      <c r="K1216" t="s">
        <v>272</v>
      </c>
      <c r="L1216" t="s">
        <v>273</v>
      </c>
      <c r="N1216" t="s">
        <v>58</v>
      </c>
    </row>
    <row r="1217" spans="1:12" ht="15">
      <c r="A1217" s="4">
        <v>201404</v>
      </c>
      <c r="B1217" t="s">
        <v>270</v>
      </c>
      <c r="C1217" s="5">
        <v>6535539</v>
      </c>
      <c r="D1217" s="2" t="s">
        <v>768</v>
      </c>
      <c r="E1217" s="2" t="s">
        <v>15</v>
      </c>
      <c r="F1217" s="3">
        <v>11.25</v>
      </c>
      <c r="G1217" t="s">
        <v>249</v>
      </c>
      <c r="H1217" s="1" t="s">
        <v>69</v>
      </c>
      <c r="I1217" t="e">
        <f>-freight</f>
        <v>#NAME?</v>
      </c>
      <c r="J1217" t="s">
        <v>271</v>
      </c>
      <c r="K1217" t="s">
        <v>272</v>
      </c>
      <c r="L1217" t="s">
        <v>273</v>
      </c>
    </row>
    <row r="1218" spans="1:12" ht="15">
      <c r="A1218" s="4">
        <v>201404</v>
      </c>
      <c r="B1218" t="s">
        <v>270</v>
      </c>
      <c r="C1218" s="5">
        <v>6535539</v>
      </c>
      <c r="D1218" s="2" t="s">
        <v>768</v>
      </c>
      <c r="E1218" s="2" t="s">
        <v>15</v>
      </c>
      <c r="F1218" s="3">
        <v>20.94</v>
      </c>
      <c r="G1218" t="s">
        <v>785</v>
      </c>
      <c r="H1218" s="1" t="s">
        <v>69</v>
      </c>
      <c r="I1218" t="e">
        <f>-freight</f>
        <v>#NAME?</v>
      </c>
      <c r="J1218" t="s">
        <v>271</v>
      </c>
      <c r="K1218" t="s">
        <v>272</v>
      </c>
      <c r="L1218" t="s">
        <v>273</v>
      </c>
    </row>
    <row r="1219" spans="1:12" ht="15">
      <c r="A1219" s="4">
        <v>201403</v>
      </c>
      <c r="B1219" t="s">
        <v>270</v>
      </c>
      <c r="C1219" s="5">
        <v>6535583</v>
      </c>
      <c r="D1219" s="2" t="s">
        <v>808</v>
      </c>
      <c r="E1219" s="2" t="s">
        <v>15</v>
      </c>
      <c r="F1219" s="3">
        <v>2165.52</v>
      </c>
      <c r="H1219" s="1" t="s">
        <v>14</v>
      </c>
      <c r="I1219" t="s">
        <v>807</v>
      </c>
      <c r="J1219" t="s">
        <v>271</v>
      </c>
      <c r="K1219" t="s">
        <v>272</v>
      </c>
      <c r="L1219" t="s">
        <v>273</v>
      </c>
    </row>
    <row r="1220" spans="1:12" ht="15">
      <c r="A1220" s="4">
        <v>201404</v>
      </c>
      <c r="B1220" t="s">
        <v>270</v>
      </c>
      <c r="C1220" s="5">
        <v>6535583</v>
      </c>
      <c r="D1220" s="2" t="s">
        <v>808</v>
      </c>
      <c r="E1220" s="2" t="s">
        <v>15</v>
      </c>
      <c r="F1220" s="3">
        <v>15.46</v>
      </c>
      <c r="H1220" s="1" t="s">
        <v>14</v>
      </c>
      <c r="I1220" t="s">
        <v>35</v>
      </c>
      <c r="J1220" t="s">
        <v>271</v>
      </c>
      <c r="K1220" t="s">
        <v>272</v>
      </c>
      <c r="L1220" t="s">
        <v>273</v>
      </c>
    </row>
    <row r="1221" spans="1:12" ht="15">
      <c r="A1221" s="4">
        <v>201404</v>
      </c>
      <c r="B1221" t="s">
        <v>270</v>
      </c>
      <c r="C1221" s="5">
        <v>6535583</v>
      </c>
      <c r="D1221" s="2" t="s">
        <v>808</v>
      </c>
      <c r="E1221" s="2" t="s">
        <v>15</v>
      </c>
      <c r="F1221" s="3">
        <v>62</v>
      </c>
      <c r="H1221" s="1" t="s">
        <v>14</v>
      </c>
      <c r="I1221" t="s">
        <v>809</v>
      </c>
      <c r="J1221" t="s">
        <v>271</v>
      </c>
      <c r="K1221" t="s">
        <v>272</v>
      </c>
      <c r="L1221" t="s">
        <v>273</v>
      </c>
    </row>
    <row r="1222" spans="1:13" ht="15">
      <c r="A1222" s="4">
        <v>201405</v>
      </c>
      <c r="B1222" t="s">
        <v>270</v>
      </c>
      <c r="C1222" s="5">
        <v>6535583</v>
      </c>
      <c r="D1222" s="2" t="s">
        <v>808</v>
      </c>
      <c r="E1222" s="2" t="s">
        <v>15</v>
      </c>
      <c r="F1222" s="3">
        <v>2082.32</v>
      </c>
      <c r="G1222" t="s">
        <v>49</v>
      </c>
      <c r="H1222" s="1" t="s">
        <v>44</v>
      </c>
      <c r="I1222" t="e">
        <f>-labor-REPAIR FGD Recycle pump SPRAY nozzles</f>
        <v>#NAME?</v>
      </c>
      <c r="J1222" t="s">
        <v>271</v>
      </c>
      <c r="K1222" t="s">
        <v>272</v>
      </c>
      <c r="L1222" t="s">
        <v>273</v>
      </c>
      <c r="M1222">
        <v>902264</v>
      </c>
    </row>
    <row r="1223" spans="1:14" ht="15">
      <c r="A1223" s="4">
        <v>201403</v>
      </c>
      <c r="B1223" t="s">
        <v>270</v>
      </c>
      <c r="C1223" s="5">
        <v>6535583</v>
      </c>
      <c r="D1223" s="2" t="s">
        <v>808</v>
      </c>
      <c r="E1223" s="2" t="s">
        <v>15</v>
      </c>
      <c r="F1223" s="3">
        <v>54</v>
      </c>
      <c r="G1223" t="s">
        <v>57</v>
      </c>
      <c r="H1223" s="1" t="s">
        <v>755</v>
      </c>
      <c r="I1223">
        <f>-69461/20301610/1</f>
        <v>-0.003421452781331136</v>
      </c>
      <c r="J1223" t="s">
        <v>271</v>
      </c>
      <c r="K1223" t="s">
        <v>272</v>
      </c>
      <c r="L1223" t="s">
        <v>273</v>
      </c>
      <c r="N1223" t="s">
        <v>58</v>
      </c>
    </row>
    <row r="1224" spans="1:13" ht="15">
      <c r="A1224" s="4">
        <v>201403</v>
      </c>
      <c r="B1224" t="s">
        <v>270</v>
      </c>
      <c r="C1224" s="5">
        <v>6535583</v>
      </c>
      <c r="D1224" s="2" t="s">
        <v>808</v>
      </c>
      <c r="E1224" s="2" t="s">
        <v>15</v>
      </c>
      <c r="F1224" s="3">
        <v>900</v>
      </c>
      <c r="G1224" t="s">
        <v>810</v>
      </c>
      <c r="H1224" s="1" t="s">
        <v>755</v>
      </c>
      <c r="I1224" t="s">
        <v>811</v>
      </c>
      <c r="J1224" t="s">
        <v>271</v>
      </c>
      <c r="K1224" t="s">
        <v>272</v>
      </c>
      <c r="L1224" t="s">
        <v>273</v>
      </c>
      <c r="M1224">
        <v>899110</v>
      </c>
    </row>
    <row r="1225" spans="1:14" ht="15">
      <c r="A1225" s="4">
        <v>201404</v>
      </c>
      <c r="B1225" t="s">
        <v>270</v>
      </c>
      <c r="C1225" s="5">
        <v>6535583</v>
      </c>
      <c r="D1225" s="2" t="s">
        <v>808</v>
      </c>
      <c r="E1225" s="2" t="s">
        <v>15</v>
      </c>
      <c r="F1225" s="3">
        <v>54</v>
      </c>
      <c r="G1225" t="s">
        <v>57</v>
      </c>
      <c r="H1225" s="1" t="s">
        <v>755</v>
      </c>
      <c r="I1225">
        <f>-69461/20306942/1</f>
        <v>-0.0034205544094231422</v>
      </c>
      <c r="J1225" t="s">
        <v>271</v>
      </c>
      <c r="K1225" t="s">
        <v>272</v>
      </c>
      <c r="L1225" t="s">
        <v>273</v>
      </c>
      <c r="N1225" t="s">
        <v>58</v>
      </c>
    </row>
    <row r="1226" spans="1:13" ht="15">
      <c r="A1226" s="4">
        <v>201404</v>
      </c>
      <c r="B1226" t="s">
        <v>270</v>
      </c>
      <c r="C1226" s="5">
        <v>6535583</v>
      </c>
      <c r="D1226" s="2" t="s">
        <v>808</v>
      </c>
      <c r="E1226" s="2" t="s">
        <v>15</v>
      </c>
      <c r="F1226" s="3">
        <v>900</v>
      </c>
      <c r="G1226" t="s">
        <v>810</v>
      </c>
      <c r="H1226" s="1" t="s">
        <v>755</v>
      </c>
      <c r="I1226" t="s">
        <v>811</v>
      </c>
      <c r="J1226" t="s">
        <v>271</v>
      </c>
      <c r="K1226" t="s">
        <v>272</v>
      </c>
      <c r="L1226" t="s">
        <v>273</v>
      </c>
      <c r="M1226">
        <v>899110</v>
      </c>
    </row>
    <row r="1227" spans="1:14" ht="15">
      <c r="A1227" s="4">
        <v>201403</v>
      </c>
      <c r="B1227" t="s">
        <v>270</v>
      </c>
      <c r="C1227" s="5">
        <v>6535583</v>
      </c>
      <c r="D1227" s="2" t="s">
        <v>808</v>
      </c>
      <c r="E1227" s="2" t="s">
        <v>15</v>
      </c>
      <c r="F1227" s="3">
        <v>14.4</v>
      </c>
      <c r="G1227" t="s">
        <v>57</v>
      </c>
      <c r="H1227" s="1" t="s">
        <v>69</v>
      </c>
      <c r="I1227">
        <f>-69461/20301610/1</f>
        <v>-0.003421452781331136</v>
      </c>
      <c r="J1227" t="s">
        <v>271</v>
      </c>
      <c r="K1227" t="s">
        <v>272</v>
      </c>
      <c r="L1227" t="s">
        <v>273</v>
      </c>
      <c r="N1227" t="s">
        <v>58</v>
      </c>
    </row>
    <row r="1228" spans="1:12" ht="15">
      <c r="A1228" s="4">
        <v>201403</v>
      </c>
      <c r="B1228" t="s">
        <v>270</v>
      </c>
      <c r="C1228" s="5">
        <v>6535583</v>
      </c>
      <c r="D1228" s="2" t="s">
        <v>808</v>
      </c>
      <c r="E1228" s="2" t="s">
        <v>15</v>
      </c>
      <c r="F1228" s="3">
        <v>240</v>
      </c>
      <c r="G1228" t="s">
        <v>810</v>
      </c>
      <c r="H1228" s="1" t="s">
        <v>69</v>
      </c>
      <c r="I1228" t="e">
        <f>-freight</f>
        <v>#NAME?</v>
      </c>
      <c r="J1228" t="s">
        <v>271</v>
      </c>
      <c r="K1228" t="s">
        <v>272</v>
      </c>
      <c r="L1228" t="s">
        <v>273</v>
      </c>
    </row>
    <row r="1229" spans="1:12" ht="15">
      <c r="A1229" s="4">
        <v>201402</v>
      </c>
      <c r="B1229" t="s">
        <v>270</v>
      </c>
      <c r="C1229" s="5">
        <v>6535695</v>
      </c>
      <c r="D1229" s="2" t="s">
        <v>812</v>
      </c>
      <c r="E1229" s="2" t="s">
        <v>15</v>
      </c>
      <c r="F1229" s="3">
        <v>12.26</v>
      </c>
      <c r="H1229" s="1" t="s">
        <v>14</v>
      </c>
      <c r="I1229" t="s">
        <v>383</v>
      </c>
      <c r="J1229" t="s">
        <v>271</v>
      </c>
      <c r="K1229" t="s">
        <v>272</v>
      </c>
      <c r="L1229" t="s">
        <v>273</v>
      </c>
    </row>
    <row r="1230" spans="1:13" ht="15">
      <c r="A1230" s="4">
        <v>201405</v>
      </c>
      <c r="B1230" t="s">
        <v>270</v>
      </c>
      <c r="C1230" s="5">
        <v>6535695</v>
      </c>
      <c r="D1230" s="2" t="s">
        <v>812</v>
      </c>
      <c r="E1230" s="2" t="s">
        <v>15</v>
      </c>
      <c r="F1230" s="3">
        <v>2684.32</v>
      </c>
      <c r="G1230" t="s">
        <v>73</v>
      </c>
      <c r="H1230" s="1" t="s">
        <v>46</v>
      </c>
      <c r="I1230" t="s">
        <v>74</v>
      </c>
      <c r="J1230" t="s">
        <v>271</v>
      </c>
      <c r="K1230" t="s">
        <v>272</v>
      </c>
      <c r="L1230" t="s">
        <v>273</v>
      </c>
      <c r="M1230">
        <v>905953</v>
      </c>
    </row>
    <row r="1231" spans="1:13" ht="15">
      <c r="A1231" s="4">
        <v>201407</v>
      </c>
      <c r="B1231" t="s">
        <v>270</v>
      </c>
      <c r="C1231" s="5">
        <v>6535695</v>
      </c>
      <c r="D1231" s="2" t="s">
        <v>812</v>
      </c>
      <c r="E1231" s="2" t="s">
        <v>15</v>
      </c>
      <c r="F1231" s="3">
        <v>14985.74</v>
      </c>
      <c r="G1231" t="s">
        <v>73</v>
      </c>
      <c r="H1231" s="1" t="s">
        <v>46</v>
      </c>
      <c r="I1231" t="s">
        <v>75</v>
      </c>
      <c r="J1231" t="s">
        <v>271</v>
      </c>
      <c r="K1231" t="s">
        <v>272</v>
      </c>
      <c r="L1231" t="s">
        <v>273</v>
      </c>
      <c r="M1231">
        <v>908282</v>
      </c>
    </row>
    <row r="1232" spans="1:12" ht="15">
      <c r="A1232" s="4">
        <v>201402</v>
      </c>
      <c r="B1232" t="s">
        <v>270</v>
      </c>
      <c r="C1232" s="5">
        <v>6535700</v>
      </c>
      <c r="D1232" s="2" t="s">
        <v>814</v>
      </c>
      <c r="E1232" s="2" t="s">
        <v>15</v>
      </c>
      <c r="F1232" s="3">
        <v>1.18</v>
      </c>
      <c r="H1232" s="1" t="s">
        <v>14</v>
      </c>
      <c r="I1232" t="s">
        <v>813</v>
      </c>
      <c r="J1232" t="s">
        <v>271</v>
      </c>
      <c r="K1232" t="s">
        <v>272</v>
      </c>
      <c r="L1232" t="s">
        <v>273</v>
      </c>
    </row>
    <row r="1233" spans="1:12" ht="15">
      <c r="A1233" s="4">
        <v>201402</v>
      </c>
      <c r="B1233" t="s">
        <v>270</v>
      </c>
      <c r="C1233" s="5">
        <v>6535700</v>
      </c>
      <c r="D1233" s="2" t="s">
        <v>814</v>
      </c>
      <c r="E1233" s="2" t="s">
        <v>15</v>
      </c>
      <c r="F1233" s="3">
        <v>5.53</v>
      </c>
      <c r="H1233" s="1" t="s">
        <v>14</v>
      </c>
      <c r="I1233" t="s">
        <v>31</v>
      </c>
      <c r="J1233" t="s">
        <v>271</v>
      </c>
      <c r="K1233" t="s">
        <v>272</v>
      </c>
      <c r="L1233" t="s">
        <v>273</v>
      </c>
    </row>
    <row r="1234" spans="1:12" ht="15">
      <c r="A1234" s="4">
        <v>201402</v>
      </c>
      <c r="B1234" t="s">
        <v>270</v>
      </c>
      <c r="C1234" s="5">
        <v>6535700</v>
      </c>
      <c r="D1234" s="2" t="s">
        <v>814</v>
      </c>
      <c r="E1234" s="2" t="s">
        <v>15</v>
      </c>
      <c r="F1234" s="3">
        <v>8.77</v>
      </c>
      <c r="H1234" s="1" t="s">
        <v>14</v>
      </c>
      <c r="I1234" t="s">
        <v>815</v>
      </c>
      <c r="J1234" t="s">
        <v>271</v>
      </c>
      <c r="K1234" t="s">
        <v>272</v>
      </c>
      <c r="L1234" t="s">
        <v>273</v>
      </c>
    </row>
    <row r="1235" spans="1:12" ht="15">
      <c r="A1235" s="4">
        <v>201402</v>
      </c>
      <c r="B1235" t="s">
        <v>270</v>
      </c>
      <c r="C1235" s="5">
        <v>6535700</v>
      </c>
      <c r="D1235" s="2" t="s">
        <v>814</v>
      </c>
      <c r="E1235" s="2" t="s">
        <v>15</v>
      </c>
      <c r="F1235" s="3">
        <v>10.38</v>
      </c>
      <c r="H1235" s="1" t="s">
        <v>14</v>
      </c>
      <c r="I1235" t="s">
        <v>319</v>
      </c>
      <c r="J1235" t="s">
        <v>271</v>
      </c>
      <c r="K1235" t="s">
        <v>272</v>
      </c>
      <c r="L1235" t="s">
        <v>273</v>
      </c>
    </row>
    <row r="1236" spans="1:12" ht="15">
      <c r="A1236" s="4">
        <v>201402</v>
      </c>
      <c r="B1236" t="s">
        <v>270</v>
      </c>
      <c r="C1236" s="5">
        <v>6535700</v>
      </c>
      <c r="D1236" s="2" t="s">
        <v>814</v>
      </c>
      <c r="E1236" s="2" t="s">
        <v>15</v>
      </c>
      <c r="F1236" s="3">
        <v>11</v>
      </c>
      <c r="H1236" s="1" t="s">
        <v>14</v>
      </c>
      <c r="I1236" t="s">
        <v>377</v>
      </c>
      <c r="J1236" t="s">
        <v>271</v>
      </c>
      <c r="K1236" t="s">
        <v>272</v>
      </c>
      <c r="L1236" t="s">
        <v>273</v>
      </c>
    </row>
    <row r="1237" spans="1:12" ht="15">
      <c r="A1237" s="4">
        <v>201402</v>
      </c>
      <c r="B1237" t="s">
        <v>270</v>
      </c>
      <c r="C1237" s="5">
        <v>6535700</v>
      </c>
      <c r="D1237" s="2" t="s">
        <v>814</v>
      </c>
      <c r="E1237" s="2" t="s">
        <v>15</v>
      </c>
      <c r="F1237" s="3">
        <v>132.92</v>
      </c>
      <c r="H1237" s="1" t="s">
        <v>14</v>
      </c>
      <c r="I1237" t="s">
        <v>89</v>
      </c>
      <c r="J1237" t="s">
        <v>271</v>
      </c>
      <c r="K1237" t="s">
        <v>272</v>
      </c>
      <c r="L1237" t="s">
        <v>273</v>
      </c>
    </row>
    <row r="1238" spans="1:12" ht="15">
      <c r="A1238" s="4">
        <v>201403</v>
      </c>
      <c r="B1238" t="s">
        <v>270</v>
      </c>
      <c r="C1238" s="5">
        <v>6535700</v>
      </c>
      <c r="D1238" s="2" t="s">
        <v>814</v>
      </c>
      <c r="E1238" s="2" t="s">
        <v>15</v>
      </c>
      <c r="F1238" s="3">
        <v>5.85</v>
      </c>
      <c r="H1238" s="1" t="s">
        <v>14</v>
      </c>
      <c r="I1238" t="s">
        <v>816</v>
      </c>
      <c r="J1238" t="s">
        <v>271</v>
      </c>
      <c r="K1238" t="s">
        <v>272</v>
      </c>
      <c r="L1238" t="s">
        <v>273</v>
      </c>
    </row>
    <row r="1239" spans="1:12" ht="15">
      <c r="A1239" s="4">
        <v>201403</v>
      </c>
      <c r="B1239" t="s">
        <v>270</v>
      </c>
      <c r="C1239" s="5">
        <v>6535700</v>
      </c>
      <c r="D1239" s="2" t="s">
        <v>814</v>
      </c>
      <c r="E1239" s="2" t="s">
        <v>15</v>
      </c>
      <c r="F1239" s="3">
        <v>35.79</v>
      </c>
      <c r="H1239" s="1" t="s">
        <v>14</v>
      </c>
      <c r="I1239" t="s">
        <v>817</v>
      </c>
      <c r="J1239" t="s">
        <v>271</v>
      </c>
      <c r="K1239" t="s">
        <v>272</v>
      </c>
      <c r="L1239" t="s">
        <v>273</v>
      </c>
    </row>
    <row r="1240" spans="1:13" ht="15">
      <c r="A1240" s="4">
        <v>201406</v>
      </c>
      <c r="B1240" t="s">
        <v>270</v>
      </c>
      <c r="C1240" s="5">
        <v>6535700</v>
      </c>
      <c r="D1240" s="2" t="s">
        <v>814</v>
      </c>
      <c r="E1240" s="2" t="s">
        <v>15</v>
      </c>
      <c r="F1240" s="3">
        <v>1831.98</v>
      </c>
      <c r="G1240" t="s">
        <v>294</v>
      </c>
      <c r="H1240" s="1" t="s">
        <v>44</v>
      </c>
      <c r="I1240" t="s">
        <v>818</v>
      </c>
      <c r="J1240" t="s">
        <v>271</v>
      </c>
      <c r="K1240" t="s">
        <v>272</v>
      </c>
      <c r="L1240" t="s">
        <v>273</v>
      </c>
      <c r="M1240">
        <v>906312</v>
      </c>
    </row>
    <row r="1241" spans="1:13" ht="15">
      <c r="A1241" s="4">
        <v>201406</v>
      </c>
      <c r="B1241" t="s">
        <v>270</v>
      </c>
      <c r="C1241" s="5">
        <v>6535700</v>
      </c>
      <c r="D1241" s="2" t="s">
        <v>814</v>
      </c>
      <c r="E1241" s="2" t="s">
        <v>15</v>
      </c>
      <c r="F1241" s="3">
        <v>3651.95</v>
      </c>
      <c r="G1241" t="s">
        <v>294</v>
      </c>
      <c r="H1241" s="1" t="s">
        <v>44</v>
      </c>
      <c r="I1241" t="s">
        <v>819</v>
      </c>
      <c r="J1241" t="s">
        <v>271</v>
      </c>
      <c r="K1241" t="s">
        <v>272</v>
      </c>
      <c r="L1241" t="s">
        <v>273</v>
      </c>
      <c r="M1241">
        <v>906312</v>
      </c>
    </row>
    <row r="1242" spans="1:13" ht="15">
      <c r="A1242" s="4">
        <v>201406</v>
      </c>
      <c r="B1242" t="s">
        <v>270</v>
      </c>
      <c r="C1242" s="5">
        <v>6535700</v>
      </c>
      <c r="D1242" s="2" t="s">
        <v>814</v>
      </c>
      <c r="E1242" s="2" t="s">
        <v>15</v>
      </c>
      <c r="F1242" s="3">
        <v>5347.88</v>
      </c>
      <c r="G1242" t="s">
        <v>294</v>
      </c>
      <c r="H1242" s="1" t="s">
        <v>44</v>
      </c>
      <c r="I1242" t="s">
        <v>820</v>
      </c>
      <c r="J1242" t="s">
        <v>271</v>
      </c>
      <c r="K1242" t="s">
        <v>272</v>
      </c>
      <c r="L1242" t="s">
        <v>273</v>
      </c>
      <c r="M1242">
        <v>906312</v>
      </c>
    </row>
    <row r="1243" spans="1:13" ht="15">
      <c r="A1243" s="4">
        <v>201406</v>
      </c>
      <c r="B1243" t="s">
        <v>270</v>
      </c>
      <c r="C1243" s="5">
        <v>6535700</v>
      </c>
      <c r="D1243" s="2" t="s">
        <v>814</v>
      </c>
      <c r="E1243" s="2" t="s">
        <v>15</v>
      </c>
      <c r="F1243" s="3">
        <v>11096.53</v>
      </c>
      <c r="G1243" t="s">
        <v>294</v>
      </c>
      <c r="H1243" s="1" t="s">
        <v>44</v>
      </c>
      <c r="I1243" t="s">
        <v>821</v>
      </c>
      <c r="J1243" t="s">
        <v>271</v>
      </c>
      <c r="K1243" t="s">
        <v>272</v>
      </c>
      <c r="L1243" t="s">
        <v>273</v>
      </c>
      <c r="M1243">
        <v>906312</v>
      </c>
    </row>
    <row r="1244" spans="1:14" ht="15">
      <c r="A1244" s="4">
        <v>201402</v>
      </c>
      <c r="B1244" t="s">
        <v>270</v>
      </c>
      <c r="C1244" s="5">
        <v>6535700</v>
      </c>
      <c r="D1244" s="2" t="s">
        <v>814</v>
      </c>
      <c r="E1244" s="2" t="s">
        <v>15</v>
      </c>
      <c r="F1244" s="3">
        <v>13.53</v>
      </c>
      <c r="G1244" t="s">
        <v>57</v>
      </c>
      <c r="H1244" s="1" t="s">
        <v>60</v>
      </c>
      <c r="I1244">
        <f>-70891/315951/1</f>
        <v>-0.22437339967273406</v>
      </c>
      <c r="J1244" t="s">
        <v>271</v>
      </c>
      <c r="K1244" t="s">
        <v>272</v>
      </c>
      <c r="L1244" t="s">
        <v>273</v>
      </c>
      <c r="N1244" t="s">
        <v>58</v>
      </c>
    </row>
    <row r="1245" spans="1:13" ht="15">
      <c r="A1245" s="4">
        <v>201402</v>
      </c>
      <c r="B1245" t="s">
        <v>270</v>
      </c>
      <c r="C1245" s="5">
        <v>6535700</v>
      </c>
      <c r="D1245" s="2" t="s">
        <v>814</v>
      </c>
      <c r="E1245" s="2" t="s">
        <v>15</v>
      </c>
      <c r="F1245" s="3">
        <v>17.66</v>
      </c>
      <c r="G1245" t="s">
        <v>81</v>
      </c>
      <c r="H1245" s="1" t="s">
        <v>60</v>
      </c>
      <c r="I1245" t="s">
        <v>822</v>
      </c>
      <c r="J1245" t="s">
        <v>271</v>
      </c>
      <c r="K1245" t="s">
        <v>272</v>
      </c>
      <c r="L1245" t="s">
        <v>273</v>
      </c>
      <c r="M1245">
        <v>899242</v>
      </c>
    </row>
    <row r="1246" spans="1:13" ht="15">
      <c r="A1246" s="4">
        <v>201402</v>
      </c>
      <c r="B1246" t="s">
        <v>270</v>
      </c>
      <c r="C1246" s="5">
        <v>6535700</v>
      </c>
      <c r="D1246" s="2" t="s">
        <v>814</v>
      </c>
      <c r="E1246" s="2" t="s">
        <v>15</v>
      </c>
      <c r="F1246" s="3">
        <v>107.64</v>
      </c>
      <c r="G1246" t="s">
        <v>81</v>
      </c>
      <c r="H1246" s="1" t="s">
        <v>60</v>
      </c>
      <c r="I1246" t="s">
        <v>823</v>
      </c>
      <c r="J1246" t="s">
        <v>271</v>
      </c>
      <c r="K1246" t="s">
        <v>272</v>
      </c>
      <c r="L1246" t="s">
        <v>273</v>
      </c>
      <c r="M1246">
        <v>899242</v>
      </c>
    </row>
    <row r="1247" spans="1:13" ht="15">
      <c r="A1247" s="4">
        <v>201402</v>
      </c>
      <c r="B1247" t="s">
        <v>270</v>
      </c>
      <c r="C1247" s="5">
        <v>6535700</v>
      </c>
      <c r="D1247" s="2" t="s">
        <v>814</v>
      </c>
      <c r="E1247" s="2" t="s">
        <v>15</v>
      </c>
      <c r="F1247" s="3">
        <v>225.49</v>
      </c>
      <c r="G1247" t="s">
        <v>81</v>
      </c>
      <c r="H1247" s="1" t="s">
        <v>60</v>
      </c>
      <c r="I1247" t="s">
        <v>824</v>
      </c>
      <c r="J1247" t="s">
        <v>271</v>
      </c>
      <c r="K1247" t="s">
        <v>272</v>
      </c>
      <c r="L1247" t="s">
        <v>273</v>
      </c>
      <c r="M1247">
        <v>899242</v>
      </c>
    </row>
    <row r="1248" spans="1:14" ht="15">
      <c r="A1248" s="4">
        <v>201402</v>
      </c>
      <c r="B1248" t="s">
        <v>270</v>
      </c>
      <c r="C1248" s="5">
        <v>6535700</v>
      </c>
      <c r="D1248" s="2" t="s">
        <v>814</v>
      </c>
      <c r="E1248" s="2" t="s">
        <v>15</v>
      </c>
      <c r="F1248" s="3">
        <v>237.52</v>
      </c>
      <c r="G1248" t="s">
        <v>57</v>
      </c>
      <c r="H1248" s="1" t="s">
        <v>60</v>
      </c>
      <c r="I1248">
        <f>-70891/315810/1</f>
        <v>-0.2244735758842342</v>
      </c>
      <c r="J1248" t="s">
        <v>271</v>
      </c>
      <c r="K1248" t="s">
        <v>272</v>
      </c>
      <c r="L1248" t="s">
        <v>273</v>
      </c>
      <c r="N1248" t="s">
        <v>58</v>
      </c>
    </row>
    <row r="1249" spans="1:13" ht="15">
      <c r="A1249" s="4">
        <v>201402</v>
      </c>
      <c r="B1249" t="s">
        <v>270</v>
      </c>
      <c r="C1249" s="5">
        <v>6535700</v>
      </c>
      <c r="D1249" s="2" t="s">
        <v>814</v>
      </c>
      <c r="E1249" s="2" t="s">
        <v>15</v>
      </c>
      <c r="F1249" s="3">
        <v>3833.33</v>
      </c>
      <c r="G1249" t="s">
        <v>81</v>
      </c>
      <c r="H1249" s="1" t="s">
        <v>60</v>
      </c>
      <c r="I1249" t="s">
        <v>824</v>
      </c>
      <c r="J1249" t="s">
        <v>271</v>
      </c>
      <c r="K1249" t="s">
        <v>272</v>
      </c>
      <c r="L1249" t="s">
        <v>273</v>
      </c>
      <c r="M1249">
        <v>899242</v>
      </c>
    </row>
    <row r="1250" spans="1:13" ht="15">
      <c r="A1250" s="4">
        <v>201403</v>
      </c>
      <c r="B1250" t="s">
        <v>270</v>
      </c>
      <c r="C1250" s="5">
        <v>6535700</v>
      </c>
      <c r="D1250" s="2" t="s">
        <v>814</v>
      </c>
      <c r="E1250" s="2" t="s">
        <v>15</v>
      </c>
      <c r="F1250" s="3">
        <v>12591.7</v>
      </c>
      <c r="G1250" t="s">
        <v>294</v>
      </c>
      <c r="H1250" s="1" t="s">
        <v>60</v>
      </c>
      <c r="I1250" t="e">
        <f>-labor/MATERIAL-TC2 VALVE Repairs</f>
        <v>#NAME?</v>
      </c>
      <c r="J1250" t="s">
        <v>271</v>
      </c>
      <c r="K1250" t="s">
        <v>272</v>
      </c>
      <c r="L1250" t="s">
        <v>273</v>
      </c>
      <c r="M1250">
        <v>900390</v>
      </c>
    </row>
    <row r="1251" spans="1:12" ht="15">
      <c r="A1251" s="4">
        <v>201402</v>
      </c>
      <c r="B1251" t="s">
        <v>270</v>
      </c>
      <c r="C1251" s="5">
        <v>6535700</v>
      </c>
      <c r="D1251" s="2" t="s">
        <v>814</v>
      </c>
      <c r="E1251" s="2" t="s">
        <v>15</v>
      </c>
      <c r="F1251" s="3">
        <v>17.75</v>
      </c>
      <c r="H1251" s="1" t="s">
        <v>66</v>
      </c>
      <c r="I1251" t="s">
        <v>67</v>
      </c>
      <c r="J1251" t="s">
        <v>271</v>
      </c>
      <c r="K1251" t="s">
        <v>272</v>
      </c>
      <c r="L1251" t="s">
        <v>273</v>
      </c>
    </row>
    <row r="1252" spans="1:12" ht="15">
      <c r="A1252" s="4">
        <v>201403</v>
      </c>
      <c r="B1252" t="s">
        <v>270</v>
      </c>
      <c r="C1252" s="5">
        <v>6535700</v>
      </c>
      <c r="D1252" s="2" t="s">
        <v>814</v>
      </c>
      <c r="E1252" s="2" t="s">
        <v>15</v>
      </c>
      <c r="F1252" s="3">
        <v>4.56</v>
      </c>
      <c r="H1252" s="1" t="s">
        <v>66</v>
      </c>
      <c r="I1252" t="s">
        <v>67</v>
      </c>
      <c r="J1252" t="s">
        <v>271</v>
      </c>
      <c r="K1252" t="s">
        <v>272</v>
      </c>
      <c r="L1252" t="s">
        <v>273</v>
      </c>
    </row>
    <row r="1253" spans="1:14" ht="15">
      <c r="A1253" s="4">
        <v>201402</v>
      </c>
      <c r="B1253" t="s">
        <v>270</v>
      </c>
      <c r="C1253" s="5">
        <v>6535700</v>
      </c>
      <c r="D1253" s="2" t="s">
        <v>814</v>
      </c>
      <c r="E1253" s="2" t="s">
        <v>15</v>
      </c>
      <c r="F1253" s="3">
        <v>0.64</v>
      </c>
      <c r="G1253" t="s">
        <v>57</v>
      </c>
      <c r="H1253" s="1" t="s">
        <v>69</v>
      </c>
      <c r="I1253">
        <f>-70891/315951/1</f>
        <v>-0.22437339967273406</v>
      </c>
      <c r="J1253" t="s">
        <v>271</v>
      </c>
      <c r="K1253" t="s">
        <v>272</v>
      </c>
      <c r="L1253" t="s">
        <v>273</v>
      </c>
      <c r="N1253" t="s">
        <v>58</v>
      </c>
    </row>
    <row r="1254" spans="1:14" ht="15">
      <c r="A1254" s="4">
        <v>201402</v>
      </c>
      <c r="B1254" t="s">
        <v>270</v>
      </c>
      <c r="C1254" s="5">
        <v>6535700</v>
      </c>
      <c r="D1254" s="2" t="s">
        <v>814</v>
      </c>
      <c r="E1254" s="2" t="s">
        <v>15</v>
      </c>
      <c r="F1254" s="3">
        <v>0.99</v>
      </c>
      <c r="G1254" t="s">
        <v>57</v>
      </c>
      <c r="H1254" s="1" t="s">
        <v>69</v>
      </c>
      <c r="I1254">
        <f>-70891/315810/1</f>
        <v>-0.2244735758842342</v>
      </c>
      <c r="J1254" t="s">
        <v>271</v>
      </c>
      <c r="K1254" t="s">
        <v>272</v>
      </c>
      <c r="L1254" t="s">
        <v>273</v>
      </c>
      <c r="N1254" t="s">
        <v>58</v>
      </c>
    </row>
    <row r="1255" spans="1:12" ht="15">
      <c r="A1255" s="4">
        <v>201402</v>
      </c>
      <c r="B1255" t="s">
        <v>270</v>
      </c>
      <c r="C1255" s="5">
        <v>6535700</v>
      </c>
      <c r="D1255" s="2" t="s">
        <v>814</v>
      </c>
      <c r="E1255" s="2" t="s">
        <v>15</v>
      </c>
      <c r="F1255" s="3">
        <v>10.65</v>
      </c>
      <c r="G1255" t="s">
        <v>81</v>
      </c>
      <c r="H1255" s="1" t="s">
        <v>69</v>
      </c>
      <c r="I1255" t="e">
        <f>-freight</f>
        <v>#NAME?</v>
      </c>
      <c r="J1255" t="s">
        <v>271</v>
      </c>
      <c r="K1255" t="s">
        <v>272</v>
      </c>
      <c r="L1255" t="s">
        <v>273</v>
      </c>
    </row>
    <row r="1256" spans="1:12" ht="15">
      <c r="A1256" s="4">
        <v>201402</v>
      </c>
      <c r="B1256" t="s">
        <v>270</v>
      </c>
      <c r="C1256" s="5">
        <v>6535700</v>
      </c>
      <c r="D1256" s="2" t="s">
        <v>814</v>
      </c>
      <c r="E1256" s="2" t="s">
        <v>15</v>
      </c>
      <c r="F1256" s="3">
        <v>16.45</v>
      </c>
      <c r="G1256" t="s">
        <v>81</v>
      </c>
      <c r="H1256" s="1" t="s">
        <v>69</v>
      </c>
      <c r="I1256" t="e">
        <f>-freight</f>
        <v>#NAME?</v>
      </c>
      <c r="J1256" t="s">
        <v>271</v>
      </c>
      <c r="K1256" t="s">
        <v>272</v>
      </c>
      <c r="L1256" t="s">
        <v>273</v>
      </c>
    </row>
    <row r="1257" spans="1:12" ht="15">
      <c r="A1257" s="4">
        <v>201404</v>
      </c>
      <c r="B1257" t="s">
        <v>270</v>
      </c>
      <c r="C1257" s="5">
        <v>6535709</v>
      </c>
      <c r="D1257" s="2" t="s">
        <v>825</v>
      </c>
      <c r="E1257" s="2" t="s">
        <v>15</v>
      </c>
      <c r="F1257" s="3">
        <v>1.07</v>
      </c>
      <c r="H1257" s="1" t="s">
        <v>66</v>
      </c>
      <c r="I1257" t="s">
        <v>67</v>
      </c>
      <c r="J1257" t="s">
        <v>271</v>
      </c>
      <c r="K1257" t="s">
        <v>272</v>
      </c>
      <c r="L1257" t="s">
        <v>273</v>
      </c>
    </row>
    <row r="1258" spans="1:12" ht="15">
      <c r="A1258" s="4">
        <v>201402</v>
      </c>
      <c r="B1258" t="s">
        <v>270</v>
      </c>
      <c r="C1258" s="5">
        <v>6535711</v>
      </c>
      <c r="D1258" s="2" t="s">
        <v>826</v>
      </c>
      <c r="E1258" s="2" t="s">
        <v>15</v>
      </c>
      <c r="F1258" s="3">
        <v>0.52</v>
      </c>
      <c r="H1258" s="1" t="s">
        <v>66</v>
      </c>
      <c r="I1258" t="s">
        <v>67</v>
      </c>
      <c r="J1258" t="s">
        <v>271</v>
      </c>
      <c r="K1258" t="s">
        <v>272</v>
      </c>
      <c r="L1258" t="s">
        <v>273</v>
      </c>
    </row>
    <row r="1259" spans="1:12" ht="15">
      <c r="A1259" s="4">
        <v>201403</v>
      </c>
      <c r="B1259" t="s">
        <v>270</v>
      </c>
      <c r="C1259" s="5">
        <v>6535711</v>
      </c>
      <c r="D1259" s="2" t="s">
        <v>826</v>
      </c>
      <c r="E1259" s="2" t="s">
        <v>15</v>
      </c>
      <c r="F1259" s="3">
        <v>0.75</v>
      </c>
      <c r="H1259" s="1" t="s">
        <v>66</v>
      </c>
      <c r="I1259" t="s">
        <v>67</v>
      </c>
      <c r="J1259" t="s">
        <v>271</v>
      </c>
      <c r="K1259" t="s">
        <v>272</v>
      </c>
      <c r="L1259" t="s">
        <v>273</v>
      </c>
    </row>
    <row r="1260" spans="1:13" ht="15">
      <c r="A1260" s="4">
        <v>201402</v>
      </c>
      <c r="B1260" t="s">
        <v>270</v>
      </c>
      <c r="C1260" s="5">
        <v>6535712</v>
      </c>
      <c r="D1260" s="2" t="s">
        <v>828</v>
      </c>
      <c r="E1260" s="2" t="s">
        <v>15</v>
      </c>
      <c r="F1260" s="3">
        <v>1457.5</v>
      </c>
      <c r="G1260" t="s">
        <v>827</v>
      </c>
      <c r="H1260" s="1" t="s">
        <v>44</v>
      </c>
      <c r="I1260" t="e">
        <f>-TC2 Pre-OUTAGE Safety VALVE Test</f>
        <v>#NAME?</v>
      </c>
      <c r="J1260" t="s">
        <v>271</v>
      </c>
      <c r="K1260" t="s">
        <v>272</v>
      </c>
      <c r="L1260" t="s">
        <v>273</v>
      </c>
      <c r="M1260">
        <v>899244</v>
      </c>
    </row>
    <row r="1261" spans="1:14" ht="15">
      <c r="A1261" s="4">
        <v>201403</v>
      </c>
      <c r="B1261" t="s">
        <v>270</v>
      </c>
      <c r="C1261" s="5">
        <v>6535712</v>
      </c>
      <c r="D1261" s="2" t="s">
        <v>828</v>
      </c>
      <c r="E1261" s="2" t="s">
        <v>15</v>
      </c>
      <c r="F1261" s="3">
        <v>326.46</v>
      </c>
      <c r="G1261" t="s">
        <v>57</v>
      </c>
      <c r="H1261" s="1" t="s">
        <v>44</v>
      </c>
      <c r="I1261" t="s">
        <v>829</v>
      </c>
      <c r="J1261" t="s">
        <v>271</v>
      </c>
      <c r="K1261" t="s">
        <v>272</v>
      </c>
      <c r="L1261" t="s">
        <v>273</v>
      </c>
      <c r="N1261" t="s">
        <v>58</v>
      </c>
    </row>
    <row r="1262" spans="1:13" ht="15">
      <c r="A1262" s="4">
        <v>201403</v>
      </c>
      <c r="B1262" t="s">
        <v>270</v>
      </c>
      <c r="C1262" s="5">
        <v>6535712</v>
      </c>
      <c r="D1262" s="2" t="s">
        <v>828</v>
      </c>
      <c r="E1262" s="2" t="s">
        <v>15</v>
      </c>
      <c r="F1262" s="3">
        <v>5441</v>
      </c>
      <c r="G1262" t="s">
        <v>827</v>
      </c>
      <c r="H1262" s="1" t="s">
        <v>44</v>
      </c>
      <c r="I1262" t="e">
        <f>-labor/MATERIAL-REPAIR of TC2 Safety valves</f>
        <v>#NAME?</v>
      </c>
      <c r="J1262" t="s">
        <v>271</v>
      </c>
      <c r="K1262" t="s">
        <v>272</v>
      </c>
      <c r="L1262" t="s">
        <v>273</v>
      </c>
      <c r="M1262">
        <v>900470</v>
      </c>
    </row>
    <row r="1263" spans="1:12" ht="15">
      <c r="A1263" s="4">
        <v>201402</v>
      </c>
      <c r="B1263" t="s">
        <v>270</v>
      </c>
      <c r="C1263" s="5">
        <v>6535712</v>
      </c>
      <c r="D1263" s="2" t="s">
        <v>828</v>
      </c>
      <c r="E1263" s="2" t="s">
        <v>15</v>
      </c>
      <c r="F1263" s="3">
        <v>1.33</v>
      </c>
      <c r="H1263" s="1" t="s">
        <v>66</v>
      </c>
      <c r="I1263" t="s">
        <v>67</v>
      </c>
      <c r="J1263" t="s">
        <v>271</v>
      </c>
      <c r="K1263" t="s">
        <v>272</v>
      </c>
      <c r="L1263" t="s">
        <v>273</v>
      </c>
    </row>
    <row r="1264" spans="1:12" ht="15">
      <c r="A1264" s="4">
        <v>201403</v>
      </c>
      <c r="B1264" t="s">
        <v>270</v>
      </c>
      <c r="C1264" s="5">
        <v>6535712</v>
      </c>
      <c r="D1264" s="2" t="s">
        <v>828</v>
      </c>
      <c r="E1264" s="2" t="s">
        <v>15</v>
      </c>
      <c r="F1264" s="3">
        <v>0.75</v>
      </c>
      <c r="H1264" s="1" t="s">
        <v>66</v>
      </c>
      <c r="I1264" t="s">
        <v>67</v>
      </c>
      <c r="J1264" t="s">
        <v>271</v>
      </c>
      <c r="K1264" t="s">
        <v>272</v>
      </c>
      <c r="L1264" t="s">
        <v>273</v>
      </c>
    </row>
    <row r="1265" spans="1:12" ht="15">
      <c r="A1265" s="4">
        <v>201403</v>
      </c>
      <c r="B1265" t="s">
        <v>270</v>
      </c>
      <c r="C1265" s="5">
        <v>6535739</v>
      </c>
      <c r="D1265" s="2" t="s">
        <v>831</v>
      </c>
      <c r="E1265" s="2" t="s">
        <v>15</v>
      </c>
      <c r="F1265" s="3">
        <v>6.07</v>
      </c>
      <c r="H1265" s="1" t="s">
        <v>14</v>
      </c>
      <c r="I1265" t="s">
        <v>830</v>
      </c>
      <c r="J1265" t="s">
        <v>271</v>
      </c>
      <c r="K1265" t="s">
        <v>272</v>
      </c>
      <c r="L1265" t="s">
        <v>273</v>
      </c>
    </row>
    <row r="1266" spans="1:12" ht="15">
      <c r="A1266" s="4">
        <v>201403</v>
      </c>
      <c r="B1266" t="s">
        <v>270</v>
      </c>
      <c r="C1266" s="5">
        <v>6535739</v>
      </c>
      <c r="D1266" s="2" t="s">
        <v>831</v>
      </c>
      <c r="E1266" s="2" t="s">
        <v>15</v>
      </c>
      <c r="F1266" s="3">
        <v>39.87</v>
      </c>
      <c r="H1266" s="1" t="s">
        <v>14</v>
      </c>
      <c r="I1266" t="s">
        <v>89</v>
      </c>
      <c r="J1266" t="s">
        <v>271</v>
      </c>
      <c r="K1266" t="s">
        <v>272</v>
      </c>
      <c r="L1266" t="s">
        <v>273</v>
      </c>
    </row>
    <row r="1267" spans="1:12" ht="15">
      <c r="A1267" s="4">
        <v>201403</v>
      </c>
      <c r="B1267" t="s">
        <v>270</v>
      </c>
      <c r="C1267" s="5">
        <v>6535739</v>
      </c>
      <c r="D1267" s="2" t="s">
        <v>831</v>
      </c>
      <c r="E1267" s="2" t="s">
        <v>15</v>
      </c>
      <c r="F1267" s="3">
        <v>124.8</v>
      </c>
      <c r="H1267" s="1" t="s">
        <v>14</v>
      </c>
      <c r="I1267" t="s">
        <v>832</v>
      </c>
      <c r="J1267" t="s">
        <v>271</v>
      </c>
      <c r="K1267" t="s">
        <v>272</v>
      </c>
      <c r="L1267" t="s">
        <v>273</v>
      </c>
    </row>
    <row r="1268" spans="1:12" ht="15">
      <c r="A1268" s="4">
        <v>201403</v>
      </c>
      <c r="B1268" t="s">
        <v>270</v>
      </c>
      <c r="C1268" s="5">
        <v>6535739</v>
      </c>
      <c r="D1268" s="2" t="s">
        <v>831</v>
      </c>
      <c r="E1268" s="2" t="s">
        <v>15</v>
      </c>
      <c r="F1268" s="3">
        <v>1.77</v>
      </c>
      <c r="H1268" s="1" t="s">
        <v>66</v>
      </c>
      <c r="I1268" t="s">
        <v>67</v>
      </c>
      <c r="J1268" t="s">
        <v>271</v>
      </c>
      <c r="K1268" t="s">
        <v>272</v>
      </c>
      <c r="L1268" t="s">
        <v>273</v>
      </c>
    </row>
    <row r="1269" spans="1:12" ht="15">
      <c r="A1269" s="4">
        <v>201403</v>
      </c>
      <c r="B1269" t="s">
        <v>270</v>
      </c>
      <c r="C1269" s="5">
        <v>6535743</v>
      </c>
      <c r="D1269" s="2" t="s">
        <v>833</v>
      </c>
      <c r="E1269" s="2" t="s">
        <v>15</v>
      </c>
      <c r="F1269" s="3">
        <v>95.09</v>
      </c>
      <c r="H1269" s="1" t="s">
        <v>14</v>
      </c>
      <c r="I1269" t="s">
        <v>458</v>
      </c>
      <c r="J1269" t="s">
        <v>271</v>
      </c>
      <c r="K1269" t="s">
        <v>272</v>
      </c>
      <c r="L1269" t="s">
        <v>273</v>
      </c>
    </row>
    <row r="1270" spans="1:12" ht="15">
      <c r="A1270" s="4">
        <v>201402</v>
      </c>
      <c r="B1270" t="s">
        <v>270</v>
      </c>
      <c r="C1270" s="5">
        <v>6535743</v>
      </c>
      <c r="D1270" s="2" t="s">
        <v>833</v>
      </c>
      <c r="E1270" s="2" t="s">
        <v>15</v>
      </c>
      <c r="F1270" s="3">
        <v>0.15</v>
      </c>
      <c r="H1270" s="1" t="s">
        <v>66</v>
      </c>
      <c r="I1270" t="s">
        <v>67</v>
      </c>
      <c r="J1270" t="s">
        <v>271</v>
      </c>
      <c r="K1270" t="s">
        <v>272</v>
      </c>
      <c r="L1270" t="s">
        <v>273</v>
      </c>
    </row>
    <row r="1271" spans="1:12" ht="15">
      <c r="A1271" s="4">
        <v>201403</v>
      </c>
      <c r="B1271" t="s">
        <v>270</v>
      </c>
      <c r="C1271" s="5">
        <v>6535743</v>
      </c>
      <c r="D1271" s="2" t="s">
        <v>833</v>
      </c>
      <c r="E1271" s="2" t="s">
        <v>15</v>
      </c>
      <c r="F1271" s="3">
        <v>1.07</v>
      </c>
      <c r="H1271" s="1" t="s">
        <v>66</v>
      </c>
      <c r="I1271" t="s">
        <v>67</v>
      </c>
      <c r="J1271" t="s">
        <v>271</v>
      </c>
      <c r="K1271" t="s">
        <v>272</v>
      </c>
      <c r="L1271" t="s">
        <v>273</v>
      </c>
    </row>
    <row r="1272" spans="1:12" ht="15">
      <c r="A1272" s="4">
        <v>201402</v>
      </c>
      <c r="B1272" t="s">
        <v>270</v>
      </c>
      <c r="C1272" s="5">
        <v>6535796</v>
      </c>
      <c r="D1272" s="2" t="s">
        <v>834</v>
      </c>
      <c r="E1272" s="2" t="s">
        <v>15</v>
      </c>
      <c r="F1272" s="3">
        <v>190.18</v>
      </c>
      <c r="H1272" s="1" t="s">
        <v>14</v>
      </c>
      <c r="I1272" t="s">
        <v>458</v>
      </c>
      <c r="J1272" t="s">
        <v>271</v>
      </c>
      <c r="K1272" t="s">
        <v>272</v>
      </c>
      <c r="L1272" t="s">
        <v>273</v>
      </c>
    </row>
    <row r="1273" spans="1:12" ht="15">
      <c r="A1273" s="4">
        <v>201402</v>
      </c>
      <c r="B1273" t="s">
        <v>270</v>
      </c>
      <c r="C1273" s="5">
        <v>6535796</v>
      </c>
      <c r="D1273" s="2" t="s">
        <v>834</v>
      </c>
      <c r="E1273" s="2" t="s">
        <v>15</v>
      </c>
      <c r="F1273" s="3">
        <v>0.52</v>
      </c>
      <c r="H1273" s="1" t="s">
        <v>66</v>
      </c>
      <c r="I1273" t="s">
        <v>67</v>
      </c>
      <c r="J1273" t="s">
        <v>271</v>
      </c>
      <c r="K1273" t="s">
        <v>272</v>
      </c>
      <c r="L1273" t="s">
        <v>273</v>
      </c>
    </row>
    <row r="1274" spans="1:12" ht="15">
      <c r="A1274" s="4">
        <v>201402</v>
      </c>
      <c r="B1274" t="s">
        <v>270</v>
      </c>
      <c r="C1274" s="5">
        <v>6535798</v>
      </c>
      <c r="D1274" s="2" t="s">
        <v>835</v>
      </c>
      <c r="E1274" s="2" t="s">
        <v>15</v>
      </c>
      <c r="F1274" s="3">
        <v>0.44</v>
      </c>
      <c r="H1274" s="1" t="s">
        <v>66</v>
      </c>
      <c r="I1274" t="s">
        <v>67</v>
      </c>
      <c r="J1274" t="s">
        <v>271</v>
      </c>
      <c r="K1274" t="s">
        <v>272</v>
      </c>
      <c r="L1274" t="s">
        <v>273</v>
      </c>
    </row>
    <row r="1275" spans="1:12" ht="15">
      <c r="A1275" s="4">
        <v>201402</v>
      </c>
      <c r="B1275" t="s">
        <v>270</v>
      </c>
      <c r="C1275" s="5">
        <v>6535799</v>
      </c>
      <c r="D1275" s="2" t="s">
        <v>836</v>
      </c>
      <c r="E1275" s="2" t="s">
        <v>15</v>
      </c>
      <c r="F1275" s="3">
        <v>0.52</v>
      </c>
      <c r="H1275" s="1" t="s">
        <v>66</v>
      </c>
      <c r="I1275" t="s">
        <v>67</v>
      </c>
      <c r="J1275" t="s">
        <v>271</v>
      </c>
      <c r="K1275" t="s">
        <v>272</v>
      </c>
      <c r="L1275" t="s">
        <v>273</v>
      </c>
    </row>
    <row r="1276" spans="1:12" ht="15">
      <c r="A1276" s="4">
        <v>201403</v>
      </c>
      <c r="B1276" t="s">
        <v>270</v>
      </c>
      <c r="C1276" s="5">
        <v>6535803</v>
      </c>
      <c r="D1276" s="2" t="s">
        <v>837</v>
      </c>
      <c r="E1276" s="2" t="s">
        <v>15</v>
      </c>
      <c r="F1276" s="3">
        <v>0.62</v>
      </c>
      <c r="H1276" s="1" t="s">
        <v>14</v>
      </c>
      <c r="I1276" t="s">
        <v>113</v>
      </c>
      <c r="J1276" t="s">
        <v>271</v>
      </c>
      <c r="K1276" t="s">
        <v>272</v>
      </c>
      <c r="L1276" t="s">
        <v>273</v>
      </c>
    </row>
    <row r="1277" spans="1:12" ht="15">
      <c r="A1277" s="4">
        <v>201403</v>
      </c>
      <c r="B1277" t="s">
        <v>270</v>
      </c>
      <c r="C1277" s="5">
        <v>6535803</v>
      </c>
      <c r="D1277" s="2" t="s">
        <v>837</v>
      </c>
      <c r="E1277" s="2" t="s">
        <v>15</v>
      </c>
      <c r="F1277" s="3">
        <v>34.33</v>
      </c>
      <c r="H1277" s="1" t="s">
        <v>14</v>
      </c>
      <c r="I1277" t="s">
        <v>89</v>
      </c>
      <c r="J1277" t="s">
        <v>271</v>
      </c>
      <c r="K1277" t="s">
        <v>272</v>
      </c>
      <c r="L1277" t="s">
        <v>273</v>
      </c>
    </row>
    <row r="1278" spans="1:12" ht="15">
      <c r="A1278" s="4">
        <v>201404</v>
      </c>
      <c r="B1278" t="s">
        <v>270</v>
      </c>
      <c r="C1278" s="5">
        <v>6535803</v>
      </c>
      <c r="D1278" s="2" t="s">
        <v>837</v>
      </c>
      <c r="E1278" s="2" t="s">
        <v>15</v>
      </c>
      <c r="F1278" s="3">
        <v>1.17</v>
      </c>
      <c r="H1278" s="1" t="s">
        <v>14</v>
      </c>
      <c r="I1278" t="s">
        <v>363</v>
      </c>
      <c r="J1278" t="s">
        <v>271</v>
      </c>
      <c r="K1278" t="s">
        <v>272</v>
      </c>
      <c r="L1278" t="s">
        <v>273</v>
      </c>
    </row>
    <row r="1279" spans="1:12" ht="15">
      <c r="A1279" s="4">
        <v>201404</v>
      </c>
      <c r="B1279" t="s">
        <v>270</v>
      </c>
      <c r="C1279" s="5">
        <v>6535803</v>
      </c>
      <c r="D1279" s="2" t="s">
        <v>837</v>
      </c>
      <c r="E1279" s="2" t="s">
        <v>15</v>
      </c>
      <c r="F1279" s="3">
        <v>18.54</v>
      </c>
      <c r="H1279" s="1" t="s">
        <v>14</v>
      </c>
      <c r="I1279" t="s">
        <v>505</v>
      </c>
      <c r="J1279" t="s">
        <v>271</v>
      </c>
      <c r="K1279" t="s">
        <v>272</v>
      </c>
      <c r="L1279" t="s">
        <v>273</v>
      </c>
    </row>
    <row r="1280" spans="1:14" ht="15">
      <c r="A1280" s="4">
        <v>201403</v>
      </c>
      <c r="B1280" t="s">
        <v>270</v>
      </c>
      <c r="C1280" s="5">
        <v>6535803</v>
      </c>
      <c r="D1280" s="2" t="s">
        <v>837</v>
      </c>
      <c r="E1280" s="2" t="s">
        <v>15</v>
      </c>
      <c r="F1280" s="3">
        <v>56.66</v>
      </c>
      <c r="G1280" t="s">
        <v>57</v>
      </c>
      <c r="H1280" s="1" t="s">
        <v>60</v>
      </c>
      <c r="I1280">
        <f>-70891/318085/1</f>
        <v>-0.22286810129367937</v>
      </c>
      <c r="J1280" t="s">
        <v>271</v>
      </c>
      <c r="K1280" t="s">
        <v>272</v>
      </c>
      <c r="L1280" t="s">
        <v>273</v>
      </c>
      <c r="N1280" t="s">
        <v>58</v>
      </c>
    </row>
    <row r="1281" spans="1:13" ht="15">
      <c r="A1281" s="4">
        <v>201403</v>
      </c>
      <c r="B1281" t="s">
        <v>270</v>
      </c>
      <c r="C1281" s="5">
        <v>6535803</v>
      </c>
      <c r="D1281" s="2" t="s">
        <v>837</v>
      </c>
      <c r="E1281" s="2" t="s">
        <v>15</v>
      </c>
      <c r="F1281" s="3">
        <v>279.06</v>
      </c>
      <c r="G1281" t="s">
        <v>81</v>
      </c>
      <c r="H1281" s="1" t="s">
        <v>60</v>
      </c>
      <c r="I1281" t="s">
        <v>838</v>
      </c>
      <c r="J1281" t="s">
        <v>271</v>
      </c>
      <c r="K1281" t="s">
        <v>272</v>
      </c>
      <c r="L1281" t="s">
        <v>273</v>
      </c>
      <c r="M1281">
        <v>901615</v>
      </c>
    </row>
    <row r="1282" spans="1:13" ht="15">
      <c r="A1282" s="4">
        <v>201403</v>
      </c>
      <c r="B1282" t="s">
        <v>270</v>
      </c>
      <c r="C1282" s="5">
        <v>6535803</v>
      </c>
      <c r="D1282" s="2" t="s">
        <v>837</v>
      </c>
      <c r="E1282" s="2" t="s">
        <v>15</v>
      </c>
      <c r="F1282" s="3">
        <v>665.3</v>
      </c>
      <c r="G1282" t="s">
        <v>81</v>
      </c>
      <c r="H1282" s="1" t="s">
        <v>60</v>
      </c>
      <c r="I1282" t="s">
        <v>839</v>
      </c>
      <c r="J1282" t="s">
        <v>271</v>
      </c>
      <c r="K1282" t="s">
        <v>272</v>
      </c>
      <c r="L1282" t="s">
        <v>273</v>
      </c>
      <c r="M1282">
        <v>901615</v>
      </c>
    </row>
    <row r="1283" spans="1:14" ht="15">
      <c r="A1283" s="4">
        <v>201404</v>
      </c>
      <c r="B1283" t="s">
        <v>270</v>
      </c>
      <c r="C1283" s="5">
        <v>6535803</v>
      </c>
      <c r="D1283" s="2" t="s">
        <v>837</v>
      </c>
      <c r="E1283" s="2" t="s">
        <v>15</v>
      </c>
      <c r="F1283" s="3">
        <v>36.43</v>
      </c>
      <c r="G1283" t="s">
        <v>57</v>
      </c>
      <c r="H1283" s="1" t="s">
        <v>60</v>
      </c>
      <c r="I1283">
        <f>-18016/818013/1</f>
        <v>-0.022024099861493642</v>
      </c>
      <c r="J1283" t="s">
        <v>271</v>
      </c>
      <c r="K1283" t="s">
        <v>272</v>
      </c>
      <c r="L1283" t="s">
        <v>273</v>
      </c>
      <c r="N1283" t="s">
        <v>58</v>
      </c>
    </row>
    <row r="1284" spans="1:13" ht="15">
      <c r="A1284" s="4">
        <v>201404</v>
      </c>
      <c r="B1284" t="s">
        <v>270</v>
      </c>
      <c r="C1284" s="5">
        <v>6535803</v>
      </c>
      <c r="D1284" s="2" t="s">
        <v>837</v>
      </c>
      <c r="E1284" s="2" t="s">
        <v>15</v>
      </c>
      <c r="F1284" s="3">
        <v>124.62</v>
      </c>
      <c r="G1284" t="s">
        <v>294</v>
      </c>
      <c r="H1284" s="1" t="s">
        <v>60</v>
      </c>
      <c r="I1284" t="e">
        <f>-GASKET,GRAPHOIL-Small GRAPHOIL GASKET</f>
        <v>#NAME?</v>
      </c>
      <c r="J1284" t="s">
        <v>271</v>
      </c>
      <c r="K1284" t="s">
        <v>272</v>
      </c>
      <c r="L1284" t="s">
        <v>273</v>
      </c>
      <c r="M1284">
        <v>902243</v>
      </c>
    </row>
    <row r="1285" spans="1:13" ht="15">
      <c r="A1285" s="4">
        <v>201404</v>
      </c>
      <c r="B1285" t="s">
        <v>270</v>
      </c>
      <c r="C1285" s="5">
        <v>6535803</v>
      </c>
      <c r="D1285" s="2" t="s">
        <v>837</v>
      </c>
      <c r="E1285" s="2" t="s">
        <v>15</v>
      </c>
      <c r="F1285" s="3">
        <v>482.44</v>
      </c>
      <c r="G1285" t="s">
        <v>294</v>
      </c>
      <c r="H1285" s="1" t="s">
        <v>60</v>
      </c>
      <c r="I1285" t="e">
        <f>-GASKET,CORRUGATED-Large CORRUGATED SS GASKET</f>
        <v>#NAME?</v>
      </c>
      <c r="J1285" t="s">
        <v>271</v>
      </c>
      <c r="K1285" t="s">
        <v>272</v>
      </c>
      <c r="L1285" t="s">
        <v>273</v>
      </c>
      <c r="M1285">
        <v>902243</v>
      </c>
    </row>
    <row r="1286" spans="1:12" ht="15">
      <c r="A1286" s="4">
        <v>201403</v>
      </c>
      <c r="B1286" t="s">
        <v>270</v>
      </c>
      <c r="C1286" s="5">
        <v>6535803</v>
      </c>
      <c r="D1286" s="2" t="s">
        <v>837</v>
      </c>
      <c r="E1286" s="2" t="s">
        <v>15</v>
      </c>
      <c r="F1286" s="3">
        <v>0.7</v>
      </c>
      <c r="H1286" s="1" t="s">
        <v>66</v>
      </c>
      <c r="I1286" t="s">
        <v>67</v>
      </c>
      <c r="J1286" t="s">
        <v>271</v>
      </c>
      <c r="K1286" t="s">
        <v>272</v>
      </c>
      <c r="L1286" t="s">
        <v>273</v>
      </c>
    </row>
    <row r="1287" spans="1:14" ht="15">
      <c r="A1287" s="4">
        <v>201403</v>
      </c>
      <c r="B1287" t="s">
        <v>270</v>
      </c>
      <c r="C1287" s="5">
        <v>6535803</v>
      </c>
      <c r="D1287" s="2" t="s">
        <v>837</v>
      </c>
      <c r="E1287" s="2" t="s">
        <v>15</v>
      </c>
      <c r="F1287" s="3">
        <v>1.43</v>
      </c>
      <c r="G1287" t="s">
        <v>57</v>
      </c>
      <c r="H1287" s="1" t="s">
        <v>69</v>
      </c>
      <c r="I1287">
        <f>-70891/318085/1</f>
        <v>-0.22286810129367937</v>
      </c>
      <c r="J1287" t="s">
        <v>271</v>
      </c>
      <c r="K1287" t="s">
        <v>272</v>
      </c>
      <c r="L1287" t="s">
        <v>273</v>
      </c>
      <c r="N1287" t="s">
        <v>58</v>
      </c>
    </row>
    <row r="1288" spans="1:12" ht="15">
      <c r="A1288" s="4">
        <v>201403</v>
      </c>
      <c r="B1288" t="s">
        <v>270</v>
      </c>
      <c r="C1288" s="5">
        <v>6535803</v>
      </c>
      <c r="D1288" s="2" t="s">
        <v>837</v>
      </c>
      <c r="E1288" s="2" t="s">
        <v>15</v>
      </c>
      <c r="F1288" s="3">
        <v>23.85</v>
      </c>
      <c r="G1288" t="s">
        <v>81</v>
      </c>
      <c r="H1288" s="1" t="s">
        <v>69</v>
      </c>
      <c r="I1288" t="e">
        <f>-freight</f>
        <v>#NAME?</v>
      </c>
      <c r="J1288" t="s">
        <v>271</v>
      </c>
      <c r="K1288" t="s">
        <v>272</v>
      </c>
      <c r="L1288" t="s">
        <v>273</v>
      </c>
    </row>
    <row r="1289" spans="1:14" ht="15">
      <c r="A1289" s="4">
        <v>201404</v>
      </c>
      <c r="B1289" t="s">
        <v>270</v>
      </c>
      <c r="C1289" s="5">
        <v>6535803</v>
      </c>
      <c r="D1289" s="2" t="s">
        <v>837</v>
      </c>
      <c r="E1289" s="2" t="s">
        <v>15</v>
      </c>
      <c r="F1289" s="3">
        <v>5.62</v>
      </c>
      <c r="G1289" t="s">
        <v>57</v>
      </c>
      <c r="H1289" s="1" t="s">
        <v>69</v>
      </c>
      <c r="I1289">
        <f>-18016/818013/1</f>
        <v>-0.022024099861493642</v>
      </c>
      <c r="J1289" t="s">
        <v>271</v>
      </c>
      <c r="K1289" t="s">
        <v>272</v>
      </c>
      <c r="L1289" t="s">
        <v>273</v>
      </c>
      <c r="N1289" t="s">
        <v>58</v>
      </c>
    </row>
    <row r="1290" spans="1:12" ht="15">
      <c r="A1290" s="4">
        <v>201404</v>
      </c>
      <c r="B1290" t="s">
        <v>270</v>
      </c>
      <c r="C1290" s="5">
        <v>6535803</v>
      </c>
      <c r="D1290" s="2" t="s">
        <v>837</v>
      </c>
      <c r="E1290" s="2" t="s">
        <v>15</v>
      </c>
      <c r="F1290" s="3">
        <v>93.7</v>
      </c>
      <c r="G1290" t="s">
        <v>294</v>
      </c>
      <c r="H1290" s="1" t="s">
        <v>69</v>
      </c>
      <c r="I1290" t="e">
        <f>-freight</f>
        <v>#NAME?</v>
      </c>
      <c r="J1290" t="s">
        <v>271</v>
      </c>
      <c r="K1290" t="s">
        <v>272</v>
      </c>
      <c r="L1290" t="s">
        <v>273</v>
      </c>
    </row>
    <row r="1291" spans="1:12" ht="15">
      <c r="A1291" s="4">
        <v>201404</v>
      </c>
      <c r="B1291" t="s">
        <v>270</v>
      </c>
      <c r="C1291" s="5">
        <v>6535828</v>
      </c>
      <c r="D1291" s="2" t="s">
        <v>840</v>
      </c>
      <c r="E1291" s="2" t="s">
        <v>15</v>
      </c>
      <c r="F1291" s="3">
        <v>44.73</v>
      </c>
      <c r="H1291" s="1" t="s">
        <v>14</v>
      </c>
      <c r="I1291" t="s">
        <v>495</v>
      </c>
      <c r="J1291" t="s">
        <v>271</v>
      </c>
      <c r="K1291" t="s">
        <v>272</v>
      </c>
      <c r="L1291" t="s">
        <v>273</v>
      </c>
    </row>
    <row r="1292" spans="1:13" ht="15">
      <c r="A1292" s="4">
        <v>201403</v>
      </c>
      <c r="B1292" t="s">
        <v>270</v>
      </c>
      <c r="C1292" s="5">
        <v>6535828</v>
      </c>
      <c r="D1292" s="2" t="s">
        <v>840</v>
      </c>
      <c r="E1292" s="2" t="s">
        <v>15</v>
      </c>
      <c r="F1292" s="3">
        <v>11000</v>
      </c>
      <c r="G1292" t="s">
        <v>841</v>
      </c>
      <c r="H1292" s="1" t="s">
        <v>44</v>
      </c>
      <c r="I1292" t="e">
        <f>-Service TECH TO Replace Joints</f>
        <v>#NAME?</v>
      </c>
      <c r="J1292" t="s">
        <v>271</v>
      </c>
      <c r="K1292" t="s">
        <v>272</v>
      </c>
      <c r="L1292" t="s">
        <v>273</v>
      </c>
      <c r="M1292">
        <v>899243</v>
      </c>
    </row>
    <row r="1293" spans="1:14" ht="15">
      <c r="A1293" s="4">
        <v>201403</v>
      </c>
      <c r="B1293" t="s">
        <v>270</v>
      </c>
      <c r="C1293" s="5">
        <v>6535828</v>
      </c>
      <c r="D1293" s="2" t="s">
        <v>840</v>
      </c>
      <c r="E1293" s="2" t="s">
        <v>15</v>
      </c>
      <c r="F1293" s="3">
        <v>384.72</v>
      </c>
      <c r="G1293" t="s">
        <v>57</v>
      </c>
      <c r="H1293" s="1" t="s">
        <v>60</v>
      </c>
      <c r="I1293">
        <f>-13169/11241/1</f>
        <v>-1.1715149897695936</v>
      </c>
      <c r="J1293" t="s">
        <v>271</v>
      </c>
      <c r="K1293" t="s">
        <v>272</v>
      </c>
      <c r="L1293" t="s">
        <v>273</v>
      </c>
      <c r="N1293" t="s">
        <v>58</v>
      </c>
    </row>
    <row r="1294" spans="1:13" ht="15">
      <c r="A1294" s="4">
        <v>201403</v>
      </c>
      <c r="B1294" t="s">
        <v>270</v>
      </c>
      <c r="C1294" s="5">
        <v>6535828</v>
      </c>
      <c r="D1294" s="2" t="s">
        <v>840</v>
      </c>
      <c r="E1294" s="2" t="s">
        <v>15</v>
      </c>
      <c r="F1294" s="3">
        <v>6412</v>
      </c>
      <c r="G1294" t="s">
        <v>841</v>
      </c>
      <c r="H1294" s="1" t="s">
        <v>60</v>
      </c>
      <c r="I1294" t="s">
        <v>842</v>
      </c>
      <c r="J1294" t="s">
        <v>271</v>
      </c>
      <c r="K1294" t="s">
        <v>272</v>
      </c>
      <c r="L1294" t="s">
        <v>273</v>
      </c>
      <c r="M1294">
        <v>899243</v>
      </c>
    </row>
    <row r="1295" spans="1:12" ht="15">
      <c r="A1295" s="4">
        <v>201402</v>
      </c>
      <c r="B1295" t="s">
        <v>270</v>
      </c>
      <c r="C1295" s="5">
        <v>6535828</v>
      </c>
      <c r="D1295" s="2" t="s">
        <v>840</v>
      </c>
      <c r="E1295" s="2" t="s">
        <v>15</v>
      </c>
      <c r="F1295" s="3">
        <v>0.15</v>
      </c>
      <c r="H1295" s="1" t="s">
        <v>66</v>
      </c>
      <c r="I1295" t="s">
        <v>67</v>
      </c>
      <c r="J1295" t="s">
        <v>271</v>
      </c>
      <c r="K1295" t="s">
        <v>272</v>
      </c>
      <c r="L1295" t="s">
        <v>273</v>
      </c>
    </row>
    <row r="1296" spans="1:12" ht="15">
      <c r="A1296" s="4">
        <v>201403</v>
      </c>
      <c r="B1296" t="s">
        <v>270</v>
      </c>
      <c r="C1296" s="5">
        <v>6535828</v>
      </c>
      <c r="D1296" s="2" t="s">
        <v>840</v>
      </c>
      <c r="E1296" s="2" t="s">
        <v>15</v>
      </c>
      <c r="F1296" s="3">
        <v>1.82</v>
      </c>
      <c r="H1296" s="1" t="s">
        <v>66</v>
      </c>
      <c r="I1296" t="s">
        <v>67</v>
      </c>
      <c r="J1296" t="s">
        <v>271</v>
      </c>
      <c r="K1296" t="s">
        <v>272</v>
      </c>
      <c r="L1296" t="s">
        <v>273</v>
      </c>
    </row>
    <row r="1297" spans="1:12" ht="15">
      <c r="A1297" s="4">
        <v>201402</v>
      </c>
      <c r="B1297" t="s">
        <v>270</v>
      </c>
      <c r="C1297" s="5">
        <v>6535845</v>
      </c>
      <c r="D1297" s="2" t="s">
        <v>843</v>
      </c>
      <c r="E1297" s="2" t="s">
        <v>15</v>
      </c>
      <c r="F1297" s="3">
        <v>0.37</v>
      </c>
      <c r="H1297" s="1" t="s">
        <v>66</v>
      </c>
      <c r="I1297" t="s">
        <v>67</v>
      </c>
      <c r="J1297" t="s">
        <v>271</v>
      </c>
      <c r="K1297" t="s">
        <v>272</v>
      </c>
      <c r="L1297" t="s">
        <v>273</v>
      </c>
    </row>
    <row r="1298" spans="1:12" ht="15">
      <c r="A1298" s="4">
        <v>201402</v>
      </c>
      <c r="B1298" t="s">
        <v>270</v>
      </c>
      <c r="C1298" s="5">
        <v>6535851</v>
      </c>
      <c r="D1298" s="2" t="s">
        <v>844</v>
      </c>
      <c r="E1298" s="2" t="s">
        <v>15</v>
      </c>
      <c r="F1298" s="3">
        <v>0.59</v>
      </c>
      <c r="H1298" s="1" t="s">
        <v>66</v>
      </c>
      <c r="I1298" t="s">
        <v>67</v>
      </c>
      <c r="J1298" t="s">
        <v>271</v>
      </c>
      <c r="K1298" t="s">
        <v>272</v>
      </c>
      <c r="L1298" t="s">
        <v>273</v>
      </c>
    </row>
    <row r="1299" spans="1:13" ht="15">
      <c r="A1299" s="4">
        <v>201408</v>
      </c>
      <c r="B1299" t="s">
        <v>270</v>
      </c>
      <c r="C1299" s="5">
        <v>6535967</v>
      </c>
      <c r="D1299" s="2" t="s">
        <v>845</v>
      </c>
      <c r="E1299" s="2" t="s">
        <v>15</v>
      </c>
      <c r="F1299" s="3">
        <v>4234.6</v>
      </c>
      <c r="G1299" t="s">
        <v>73</v>
      </c>
      <c r="H1299" s="1" t="s">
        <v>46</v>
      </c>
      <c r="I1299" t="s">
        <v>122</v>
      </c>
      <c r="J1299" t="s">
        <v>271</v>
      </c>
      <c r="K1299" t="s">
        <v>272</v>
      </c>
      <c r="L1299" t="s">
        <v>273</v>
      </c>
      <c r="M1299">
        <v>910615</v>
      </c>
    </row>
    <row r="1300" spans="1:12" ht="15">
      <c r="A1300" s="4">
        <v>201404</v>
      </c>
      <c r="B1300" t="s">
        <v>270</v>
      </c>
      <c r="C1300" s="5">
        <v>6535967</v>
      </c>
      <c r="D1300" s="2" t="s">
        <v>845</v>
      </c>
      <c r="E1300" s="2" t="s">
        <v>15</v>
      </c>
      <c r="F1300" s="3">
        <v>0.61</v>
      </c>
      <c r="H1300" s="1" t="s">
        <v>66</v>
      </c>
      <c r="I1300" t="s">
        <v>67</v>
      </c>
      <c r="J1300" t="s">
        <v>271</v>
      </c>
      <c r="K1300" t="s">
        <v>272</v>
      </c>
      <c r="L1300" t="s">
        <v>273</v>
      </c>
    </row>
    <row r="1301" spans="1:12" ht="15">
      <c r="A1301" s="4">
        <v>201405</v>
      </c>
      <c r="B1301" t="s">
        <v>270</v>
      </c>
      <c r="C1301" s="5">
        <v>6535967</v>
      </c>
      <c r="D1301" s="2" t="s">
        <v>845</v>
      </c>
      <c r="E1301" s="2" t="s">
        <v>15</v>
      </c>
      <c r="F1301" s="3">
        <v>0.4</v>
      </c>
      <c r="H1301" s="1" t="s">
        <v>66</v>
      </c>
      <c r="I1301" t="s">
        <v>67</v>
      </c>
      <c r="J1301" t="s">
        <v>271</v>
      </c>
      <c r="K1301" t="s">
        <v>272</v>
      </c>
      <c r="L1301" t="s">
        <v>273</v>
      </c>
    </row>
    <row r="1302" spans="1:12" ht="15">
      <c r="A1302" s="4">
        <v>201406</v>
      </c>
      <c r="B1302" t="s">
        <v>270</v>
      </c>
      <c r="C1302" s="5">
        <v>6535967</v>
      </c>
      <c r="D1302" s="2" t="s">
        <v>845</v>
      </c>
      <c r="E1302" s="2" t="s">
        <v>15</v>
      </c>
      <c r="F1302" s="3">
        <v>1.68</v>
      </c>
      <c r="H1302" s="1" t="s">
        <v>66</v>
      </c>
      <c r="I1302" t="s">
        <v>67</v>
      </c>
      <c r="J1302" t="s">
        <v>271</v>
      </c>
      <c r="K1302" t="s">
        <v>272</v>
      </c>
      <c r="L1302" t="s">
        <v>273</v>
      </c>
    </row>
    <row r="1303" spans="1:12" ht="15">
      <c r="A1303" s="4">
        <v>201403</v>
      </c>
      <c r="B1303" t="s">
        <v>270</v>
      </c>
      <c r="C1303" s="5">
        <v>6536019</v>
      </c>
      <c r="D1303" s="2" t="s">
        <v>846</v>
      </c>
      <c r="E1303" s="2" t="s">
        <v>15</v>
      </c>
      <c r="F1303" s="3">
        <v>94.52</v>
      </c>
      <c r="H1303" s="1" t="s">
        <v>14</v>
      </c>
      <c r="I1303" t="s">
        <v>108</v>
      </c>
      <c r="J1303" t="s">
        <v>271</v>
      </c>
      <c r="K1303" t="s">
        <v>272</v>
      </c>
      <c r="L1303" t="s">
        <v>273</v>
      </c>
    </row>
    <row r="1304" spans="1:12" ht="15">
      <c r="A1304" s="4">
        <v>201405</v>
      </c>
      <c r="B1304" t="s">
        <v>270</v>
      </c>
      <c r="C1304" s="5">
        <v>6536019</v>
      </c>
      <c r="D1304" s="2" t="s">
        <v>846</v>
      </c>
      <c r="E1304" s="2" t="s">
        <v>15</v>
      </c>
      <c r="F1304" s="3">
        <v>4.9</v>
      </c>
      <c r="H1304" s="1" t="s">
        <v>14</v>
      </c>
      <c r="I1304" t="s">
        <v>495</v>
      </c>
      <c r="J1304" t="s">
        <v>271</v>
      </c>
      <c r="K1304" t="s">
        <v>272</v>
      </c>
      <c r="L1304" t="s">
        <v>273</v>
      </c>
    </row>
    <row r="1305" spans="1:12" ht="15">
      <c r="A1305" s="4">
        <v>201405</v>
      </c>
      <c r="B1305" t="s">
        <v>270</v>
      </c>
      <c r="C1305" s="5">
        <v>6536019</v>
      </c>
      <c r="D1305" s="2" t="s">
        <v>846</v>
      </c>
      <c r="E1305" s="2" t="s">
        <v>15</v>
      </c>
      <c r="F1305" s="3">
        <v>28</v>
      </c>
      <c r="H1305" s="1" t="s">
        <v>14</v>
      </c>
      <c r="I1305" t="s">
        <v>90</v>
      </c>
      <c r="J1305" t="s">
        <v>271</v>
      </c>
      <c r="K1305" t="s">
        <v>272</v>
      </c>
      <c r="L1305" t="s">
        <v>273</v>
      </c>
    </row>
    <row r="1306" spans="1:12" ht="15">
      <c r="A1306" s="4">
        <v>201405</v>
      </c>
      <c r="B1306" t="s">
        <v>270</v>
      </c>
      <c r="C1306" s="5">
        <v>6536019</v>
      </c>
      <c r="D1306" s="2" t="s">
        <v>846</v>
      </c>
      <c r="E1306" s="2" t="s">
        <v>15</v>
      </c>
      <c r="F1306" s="3">
        <v>31.13</v>
      </c>
      <c r="H1306" s="1" t="s">
        <v>14</v>
      </c>
      <c r="I1306" t="s">
        <v>319</v>
      </c>
      <c r="J1306" t="s">
        <v>271</v>
      </c>
      <c r="K1306" t="s">
        <v>272</v>
      </c>
      <c r="L1306" t="s">
        <v>273</v>
      </c>
    </row>
    <row r="1307" spans="1:13" ht="15">
      <c r="A1307" s="4">
        <v>201405</v>
      </c>
      <c r="B1307" t="s">
        <v>270</v>
      </c>
      <c r="C1307" s="5">
        <v>6536019</v>
      </c>
      <c r="D1307" s="2" t="s">
        <v>846</v>
      </c>
      <c r="E1307" s="2" t="s">
        <v>15</v>
      </c>
      <c r="F1307" s="3">
        <v>201.14</v>
      </c>
      <c r="G1307" t="s">
        <v>119</v>
      </c>
      <c r="H1307" s="1" t="s">
        <v>46</v>
      </c>
      <c r="I1307" t="s">
        <v>697</v>
      </c>
      <c r="J1307" t="s">
        <v>271</v>
      </c>
      <c r="K1307" t="s">
        <v>272</v>
      </c>
      <c r="L1307" t="s">
        <v>273</v>
      </c>
      <c r="M1307">
        <v>905659</v>
      </c>
    </row>
    <row r="1308" spans="1:12" ht="15">
      <c r="A1308" s="4">
        <v>201402</v>
      </c>
      <c r="B1308" t="s">
        <v>270</v>
      </c>
      <c r="C1308" s="5">
        <v>6536019</v>
      </c>
      <c r="D1308" s="2" t="s">
        <v>846</v>
      </c>
      <c r="E1308" s="2" t="s">
        <v>15</v>
      </c>
      <c r="F1308" s="3">
        <v>2.37</v>
      </c>
      <c r="H1308" s="1" t="s">
        <v>66</v>
      </c>
      <c r="I1308" t="s">
        <v>67</v>
      </c>
      <c r="J1308" t="s">
        <v>271</v>
      </c>
      <c r="K1308" t="s">
        <v>272</v>
      </c>
      <c r="L1308" t="s">
        <v>273</v>
      </c>
    </row>
    <row r="1309" spans="1:12" ht="15">
      <c r="A1309" s="4">
        <v>201403</v>
      </c>
      <c r="B1309" t="s">
        <v>270</v>
      </c>
      <c r="C1309" s="5">
        <v>6536019</v>
      </c>
      <c r="D1309" s="2" t="s">
        <v>846</v>
      </c>
      <c r="E1309" s="2" t="s">
        <v>15</v>
      </c>
      <c r="F1309" s="3">
        <v>1.45</v>
      </c>
      <c r="H1309" s="1" t="s">
        <v>66</v>
      </c>
      <c r="I1309" t="s">
        <v>67</v>
      </c>
      <c r="J1309" t="s">
        <v>271</v>
      </c>
      <c r="K1309" t="s">
        <v>272</v>
      </c>
      <c r="L1309" t="s">
        <v>273</v>
      </c>
    </row>
    <row r="1310" spans="1:12" ht="15">
      <c r="A1310" s="4">
        <v>201404</v>
      </c>
      <c r="B1310" t="s">
        <v>270</v>
      </c>
      <c r="C1310" s="5">
        <v>6536019</v>
      </c>
      <c r="D1310" s="2" t="s">
        <v>846</v>
      </c>
      <c r="E1310" s="2" t="s">
        <v>15</v>
      </c>
      <c r="F1310" s="3">
        <v>3.05</v>
      </c>
      <c r="H1310" s="1" t="s">
        <v>66</v>
      </c>
      <c r="I1310" t="s">
        <v>67</v>
      </c>
      <c r="J1310" t="s">
        <v>271</v>
      </c>
      <c r="K1310" t="s">
        <v>272</v>
      </c>
      <c r="L1310" t="s">
        <v>273</v>
      </c>
    </row>
    <row r="1311" spans="1:12" ht="15">
      <c r="A1311" s="4">
        <v>201405</v>
      </c>
      <c r="B1311" t="s">
        <v>270</v>
      </c>
      <c r="C1311" s="5">
        <v>6536019</v>
      </c>
      <c r="D1311" s="2" t="s">
        <v>846</v>
      </c>
      <c r="E1311" s="2" t="s">
        <v>15</v>
      </c>
      <c r="F1311" s="3">
        <v>3.38</v>
      </c>
      <c r="H1311" s="1" t="s">
        <v>66</v>
      </c>
      <c r="I1311" t="s">
        <v>67</v>
      </c>
      <c r="J1311" t="s">
        <v>271</v>
      </c>
      <c r="K1311" t="s">
        <v>272</v>
      </c>
      <c r="L1311" t="s">
        <v>273</v>
      </c>
    </row>
    <row r="1312" spans="1:12" ht="15">
      <c r="A1312" s="4">
        <v>201404</v>
      </c>
      <c r="B1312" t="s">
        <v>270</v>
      </c>
      <c r="C1312" s="5">
        <v>6536019</v>
      </c>
      <c r="D1312" s="2" t="s">
        <v>846</v>
      </c>
      <c r="E1312" s="2" t="s">
        <v>15</v>
      </c>
      <c r="F1312" s="3">
        <v>0</v>
      </c>
      <c r="H1312" s="1" t="s">
        <v>68</v>
      </c>
      <c r="J1312" t="s">
        <v>271</v>
      </c>
      <c r="K1312" t="s">
        <v>272</v>
      </c>
      <c r="L1312" t="s">
        <v>273</v>
      </c>
    </row>
    <row r="1313" spans="1:12" ht="15">
      <c r="A1313" s="4">
        <v>201404</v>
      </c>
      <c r="B1313" t="s">
        <v>270</v>
      </c>
      <c r="C1313" s="5">
        <v>6536019</v>
      </c>
      <c r="D1313" s="2" t="s">
        <v>846</v>
      </c>
      <c r="E1313" s="2" t="s">
        <v>15</v>
      </c>
      <c r="F1313" s="3">
        <v>0</v>
      </c>
      <c r="H1313" s="1" t="s">
        <v>68</v>
      </c>
      <c r="J1313" t="s">
        <v>271</v>
      </c>
      <c r="K1313" t="s">
        <v>272</v>
      </c>
      <c r="L1313" t="s">
        <v>273</v>
      </c>
    </row>
    <row r="1314" spans="1:12" ht="15">
      <c r="A1314" s="4">
        <v>201404</v>
      </c>
      <c r="B1314" t="s">
        <v>270</v>
      </c>
      <c r="C1314" s="5">
        <v>6536019</v>
      </c>
      <c r="D1314" s="2" t="s">
        <v>846</v>
      </c>
      <c r="E1314" s="2" t="s">
        <v>15</v>
      </c>
      <c r="F1314" s="3">
        <v>12</v>
      </c>
      <c r="H1314" s="1" t="s">
        <v>68</v>
      </c>
      <c r="J1314" t="s">
        <v>271</v>
      </c>
      <c r="K1314" t="s">
        <v>272</v>
      </c>
      <c r="L1314" t="s">
        <v>273</v>
      </c>
    </row>
    <row r="1315" spans="1:12" ht="15">
      <c r="A1315" s="4">
        <v>201405</v>
      </c>
      <c r="B1315" t="s">
        <v>270</v>
      </c>
      <c r="C1315" s="5">
        <v>6536019</v>
      </c>
      <c r="D1315" s="2" t="s">
        <v>846</v>
      </c>
      <c r="E1315" s="2" t="s">
        <v>15</v>
      </c>
      <c r="F1315" s="3">
        <v>0</v>
      </c>
      <c r="H1315" s="1" t="s">
        <v>68</v>
      </c>
      <c r="J1315" t="s">
        <v>271</v>
      </c>
      <c r="K1315" t="s">
        <v>272</v>
      </c>
      <c r="L1315" t="s">
        <v>273</v>
      </c>
    </row>
    <row r="1316" spans="1:12" ht="15">
      <c r="A1316" s="4">
        <v>201405</v>
      </c>
      <c r="B1316" t="s">
        <v>270</v>
      </c>
      <c r="C1316" s="5">
        <v>6536019</v>
      </c>
      <c r="D1316" s="2" t="s">
        <v>846</v>
      </c>
      <c r="E1316" s="2" t="s">
        <v>15</v>
      </c>
      <c r="F1316" s="3">
        <v>0</v>
      </c>
      <c r="H1316" s="1" t="s">
        <v>68</v>
      </c>
      <c r="J1316" t="s">
        <v>271</v>
      </c>
      <c r="K1316" t="s">
        <v>272</v>
      </c>
      <c r="L1316" t="s">
        <v>273</v>
      </c>
    </row>
    <row r="1317" spans="1:12" ht="15">
      <c r="A1317" s="4">
        <v>201405</v>
      </c>
      <c r="B1317" t="s">
        <v>270</v>
      </c>
      <c r="C1317" s="5">
        <v>6536019</v>
      </c>
      <c r="D1317" s="2" t="s">
        <v>846</v>
      </c>
      <c r="E1317" s="2" t="s">
        <v>15</v>
      </c>
      <c r="F1317" s="3">
        <v>12</v>
      </c>
      <c r="H1317" s="1" t="s">
        <v>68</v>
      </c>
      <c r="J1317" t="s">
        <v>271</v>
      </c>
      <c r="K1317" t="s">
        <v>272</v>
      </c>
      <c r="L1317" t="s">
        <v>273</v>
      </c>
    </row>
    <row r="1318" spans="1:12" ht="15">
      <c r="A1318" s="4">
        <v>201403</v>
      </c>
      <c r="B1318" t="s">
        <v>270</v>
      </c>
      <c r="C1318" s="5">
        <v>6536553</v>
      </c>
      <c r="D1318" s="2" t="s">
        <v>848</v>
      </c>
      <c r="E1318" s="2" t="s">
        <v>15</v>
      </c>
      <c r="F1318" s="3">
        <v>11</v>
      </c>
      <c r="H1318" s="1" t="s">
        <v>14</v>
      </c>
      <c r="I1318" t="s">
        <v>847</v>
      </c>
      <c r="J1318" t="s">
        <v>271</v>
      </c>
      <c r="K1318" t="s">
        <v>272</v>
      </c>
      <c r="L1318" t="s">
        <v>273</v>
      </c>
    </row>
    <row r="1319" spans="1:12" ht="15">
      <c r="A1319" s="4">
        <v>201403</v>
      </c>
      <c r="B1319" t="s">
        <v>270</v>
      </c>
      <c r="C1319" s="5">
        <v>6536553</v>
      </c>
      <c r="D1319" s="2" t="s">
        <v>848</v>
      </c>
      <c r="E1319" s="2" t="s">
        <v>15</v>
      </c>
      <c r="F1319" s="3">
        <v>15.53</v>
      </c>
      <c r="H1319" s="1" t="s">
        <v>14</v>
      </c>
      <c r="I1319" t="s">
        <v>849</v>
      </c>
      <c r="J1319" t="s">
        <v>271</v>
      </c>
      <c r="K1319" t="s">
        <v>272</v>
      </c>
      <c r="L1319" t="s">
        <v>273</v>
      </c>
    </row>
    <row r="1320" spans="1:12" ht="15">
      <c r="A1320" s="4">
        <v>201403</v>
      </c>
      <c r="B1320" t="s">
        <v>270</v>
      </c>
      <c r="C1320" s="5">
        <v>6536553</v>
      </c>
      <c r="D1320" s="2" t="s">
        <v>848</v>
      </c>
      <c r="E1320" s="2" t="s">
        <v>15</v>
      </c>
      <c r="F1320" s="3">
        <v>21.34</v>
      </c>
      <c r="H1320" s="1" t="s">
        <v>14</v>
      </c>
      <c r="I1320" t="s">
        <v>850</v>
      </c>
      <c r="J1320" t="s">
        <v>271</v>
      </c>
      <c r="K1320" t="s">
        <v>272</v>
      </c>
      <c r="L1320" t="s">
        <v>273</v>
      </c>
    </row>
    <row r="1321" spans="1:12" ht="15">
      <c r="A1321" s="4">
        <v>201403</v>
      </c>
      <c r="B1321" t="s">
        <v>270</v>
      </c>
      <c r="C1321" s="5">
        <v>6536553</v>
      </c>
      <c r="D1321" s="2" t="s">
        <v>848</v>
      </c>
      <c r="E1321" s="2" t="s">
        <v>15</v>
      </c>
      <c r="F1321" s="3">
        <v>68.3</v>
      </c>
      <c r="H1321" s="1" t="s">
        <v>14</v>
      </c>
      <c r="I1321" t="s">
        <v>851</v>
      </c>
      <c r="J1321" t="s">
        <v>271</v>
      </c>
      <c r="K1321" t="s">
        <v>272</v>
      </c>
      <c r="L1321" t="s">
        <v>273</v>
      </c>
    </row>
    <row r="1322" spans="1:12" ht="15">
      <c r="A1322" s="4">
        <v>201403</v>
      </c>
      <c r="B1322" t="s">
        <v>270</v>
      </c>
      <c r="C1322" s="5">
        <v>6536553</v>
      </c>
      <c r="D1322" s="2" t="s">
        <v>848</v>
      </c>
      <c r="E1322" s="2" t="s">
        <v>15</v>
      </c>
      <c r="F1322" s="3">
        <v>145</v>
      </c>
      <c r="H1322" s="1" t="s">
        <v>14</v>
      </c>
      <c r="I1322" t="s">
        <v>852</v>
      </c>
      <c r="J1322" t="s">
        <v>271</v>
      </c>
      <c r="K1322" t="s">
        <v>272</v>
      </c>
      <c r="L1322" t="s">
        <v>273</v>
      </c>
    </row>
    <row r="1323" spans="1:12" ht="15">
      <c r="A1323" s="4">
        <v>201403</v>
      </c>
      <c r="B1323" t="s">
        <v>270</v>
      </c>
      <c r="C1323" s="5">
        <v>6536553</v>
      </c>
      <c r="D1323" s="2" t="s">
        <v>848</v>
      </c>
      <c r="E1323" s="2" t="s">
        <v>15</v>
      </c>
      <c r="F1323" s="3">
        <v>250.64</v>
      </c>
      <c r="H1323" s="1" t="s">
        <v>14</v>
      </c>
      <c r="I1323" t="s">
        <v>853</v>
      </c>
      <c r="J1323" t="s">
        <v>271</v>
      </c>
      <c r="K1323" t="s">
        <v>272</v>
      </c>
      <c r="L1323" t="s">
        <v>273</v>
      </c>
    </row>
    <row r="1324" spans="1:12" ht="15">
      <c r="A1324" s="4">
        <v>201403</v>
      </c>
      <c r="B1324" t="s">
        <v>270</v>
      </c>
      <c r="C1324" s="5">
        <v>6536553</v>
      </c>
      <c r="D1324" s="2" t="s">
        <v>848</v>
      </c>
      <c r="E1324" s="2" t="s">
        <v>15</v>
      </c>
      <c r="F1324" s="3">
        <v>394.86</v>
      </c>
      <c r="H1324" s="1" t="s">
        <v>14</v>
      </c>
      <c r="I1324" t="s">
        <v>854</v>
      </c>
      <c r="J1324" t="s">
        <v>271</v>
      </c>
      <c r="K1324" t="s">
        <v>272</v>
      </c>
      <c r="L1324" t="s">
        <v>273</v>
      </c>
    </row>
    <row r="1325" spans="1:12" ht="15">
      <c r="A1325" s="4">
        <v>201403</v>
      </c>
      <c r="B1325" t="s">
        <v>270</v>
      </c>
      <c r="C1325" s="5">
        <v>6536553</v>
      </c>
      <c r="D1325" s="2" t="s">
        <v>848</v>
      </c>
      <c r="E1325" s="2" t="s">
        <v>15</v>
      </c>
      <c r="F1325" s="3">
        <v>-11</v>
      </c>
      <c r="H1325" s="1" t="s">
        <v>43</v>
      </c>
      <c r="I1325" t="s">
        <v>847</v>
      </c>
      <c r="J1325" t="s">
        <v>271</v>
      </c>
      <c r="K1325" t="s">
        <v>272</v>
      </c>
      <c r="L1325" t="s">
        <v>273</v>
      </c>
    </row>
    <row r="1326" spans="1:12" ht="15">
      <c r="A1326" s="4">
        <v>201405</v>
      </c>
      <c r="B1326" t="s">
        <v>270</v>
      </c>
      <c r="C1326" s="5">
        <v>6536553</v>
      </c>
      <c r="D1326" s="2" t="s">
        <v>848</v>
      </c>
      <c r="E1326" s="2" t="s">
        <v>15</v>
      </c>
      <c r="F1326" s="3">
        <v>0.1</v>
      </c>
      <c r="H1326" s="1" t="s">
        <v>66</v>
      </c>
      <c r="I1326" t="s">
        <v>67</v>
      </c>
      <c r="J1326" t="s">
        <v>271</v>
      </c>
      <c r="K1326" t="s">
        <v>272</v>
      </c>
      <c r="L1326" t="s">
        <v>273</v>
      </c>
    </row>
    <row r="1327" spans="1:12" ht="15">
      <c r="A1327" s="4">
        <v>201402</v>
      </c>
      <c r="B1327" t="s">
        <v>270</v>
      </c>
      <c r="C1327" s="5">
        <v>6536621</v>
      </c>
      <c r="D1327" s="2" t="s">
        <v>855</v>
      </c>
      <c r="E1327" s="2" t="s">
        <v>15</v>
      </c>
      <c r="F1327" s="3">
        <v>6.8</v>
      </c>
      <c r="H1327" s="1" t="s">
        <v>66</v>
      </c>
      <c r="I1327" t="s">
        <v>67</v>
      </c>
      <c r="J1327" t="s">
        <v>271</v>
      </c>
      <c r="K1327" t="s">
        <v>272</v>
      </c>
      <c r="L1327" t="s">
        <v>273</v>
      </c>
    </row>
    <row r="1328" spans="1:12" ht="15">
      <c r="A1328" s="4">
        <v>201402</v>
      </c>
      <c r="B1328" t="s">
        <v>270</v>
      </c>
      <c r="C1328" s="5">
        <v>6536625</v>
      </c>
      <c r="D1328" s="2" t="s">
        <v>856</v>
      </c>
      <c r="E1328" s="2" t="s">
        <v>15</v>
      </c>
      <c r="F1328" s="3">
        <v>0.81</v>
      </c>
      <c r="H1328" s="1" t="s">
        <v>66</v>
      </c>
      <c r="I1328" t="s">
        <v>67</v>
      </c>
      <c r="J1328" t="s">
        <v>271</v>
      </c>
      <c r="K1328" t="s">
        <v>272</v>
      </c>
      <c r="L1328" t="s">
        <v>273</v>
      </c>
    </row>
    <row r="1329" spans="1:12" ht="15">
      <c r="A1329" s="4">
        <v>201402</v>
      </c>
      <c r="B1329" t="s">
        <v>270</v>
      </c>
      <c r="C1329" s="5">
        <v>6536647</v>
      </c>
      <c r="D1329" s="2" t="s">
        <v>857</v>
      </c>
      <c r="E1329" s="2" t="s">
        <v>15</v>
      </c>
      <c r="F1329" s="3">
        <v>1.11</v>
      </c>
      <c r="H1329" s="1" t="s">
        <v>66</v>
      </c>
      <c r="I1329" t="s">
        <v>67</v>
      </c>
      <c r="J1329" t="s">
        <v>271</v>
      </c>
      <c r="K1329" t="s">
        <v>272</v>
      </c>
      <c r="L1329" t="s">
        <v>273</v>
      </c>
    </row>
    <row r="1330" spans="1:12" ht="15">
      <c r="A1330" s="4">
        <v>201404</v>
      </c>
      <c r="B1330" t="s">
        <v>270</v>
      </c>
      <c r="C1330" s="5">
        <v>6538152</v>
      </c>
      <c r="D1330" s="2" t="s">
        <v>859</v>
      </c>
      <c r="E1330" s="2" t="s">
        <v>15</v>
      </c>
      <c r="F1330" s="3">
        <v>45.79</v>
      </c>
      <c r="H1330" s="1" t="s">
        <v>14</v>
      </c>
      <c r="I1330" t="s">
        <v>858</v>
      </c>
      <c r="J1330" t="s">
        <v>271</v>
      </c>
      <c r="K1330" t="s">
        <v>272</v>
      </c>
      <c r="L1330" t="s">
        <v>273</v>
      </c>
    </row>
    <row r="1331" spans="1:13" ht="15">
      <c r="A1331" s="4">
        <v>201403</v>
      </c>
      <c r="B1331" t="s">
        <v>270</v>
      </c>
      <c r="C1331" s="5">
        <v>6538152</v>
      </c>
      <c r="D1331" s="2" t="s">
        <v>859</v>
      </c>
      <c r="E1331" s="2" t="s">
        <v>15</v>
      </c>
      <c r="F1331" s="3">
        <v>2086.12</v>
      </c>
      <c r="G1331" t="s">
        <v>73</v>
      </c>
      <c r="H1331" s="1" t="s">
        <v>46</v>
      </c>
      <c r="I1331" t="s">
        <v>94</v>
      </c>
      <c r="J1331" t="s">
        <v>271</v>
      </c>
      <c r="K1331" t="s">
        <v>272</v>
      </c>
      <c r="L1331" t="s">
        <v>273</v>
      </c>
      <c r="M1331">
        <v>902317</v>
      </c>
    </row>
    <row r="1332" spans="1:12" ht="15">
      <c r="A1332" s="4">
        <v>201405</v>
      </c>
      <c r="B1332" t="s">
        <v>270</v>
      </c>
      <c r="C1332" s="5">
        <v>6538152</v>
      </c>
      <c r="D1332" s="2" t="s">
        <v>859</v>
      </c>
      <c r="E1332" s="2" t="s">
        <v>15</v>
      </c>
      <c r="F1332" s="3">
        <v>0.1</v>
      </c>
      <c r="H1332" s="1" t="s">
        <v>66</v>
      </c>
      <c r="I1332" t="s">
        <v>67</v>
      </c>
      <c r="J1332" t="s">
        <v>271</v>
      </c>
      <c r="K1332" t="s">
        <v>272</v>
      </c>
      <c r="L1332" t="s">
        <v>273</v>
      </c>
    </row>
    <row r="1333" spans="1:12" ht="15">
      <c r="A1333" s="4">
        <v>201406</v>
      </c>
      <c r="B1333" t="s">
        <v>270</v>
      </c>
      <c r="C1333" s="5">
        <v>6538152</v>
      </c>
      <c r="D1333" s="2" t="s">
        <v>859</v>
      </c>
      <c r="E1333" s="2" t="s">
        <v>15</v>
      </c>
      <c r="F1333" s="3">
        <v>0.33</v>
      </c>
      <c r="H1333" s="1" t="s">
        <v>66</v>
      </c>
      <c r="I1333" t="s">
        <v>67</v>
      </c>
      <c r="J1333" t="s">
        <v>271</v>
      </c>
      <c r="K1333" t="s">
        <v>272</v>
      </c>
      <c r="L1333" t="s">
        <v>273</v>
      </c>
    </row>
    <row r="1334" spans="1:12" ht="15">
      <c r="A1334" s="4">
        <v>201402</v>
      </c>
      <c r="B1334" t="s">
        <v>270</v>
      </c>
      <c r="C1334" s="5">
        <v>6538179</v>
      </c>
      <c r="D1334" s="2" t="s">
        <v>860</v>
      </c>
      <c r="E1334" s="2" t="s">
        <v>15</v>
      </c>
      <c r="F1334" s="3">
        <v>2.9</v>
      </c>
      <c r="H1334" s="1" t="s">
        <v>14</v>
      </c>
      <c r="I1334" t="s">
        <v>37</v>
      </c>
      <c r="J1334" t="s">
        <v>271</v>
      </c>
      <c r="K1334" t="s">
        <v>272</v>
      </c>
      <c r="L1334" t="s">
        <v>273</v>
      </c>
    </row>
    <row r="1335" spans="1:12" ht="15">
      <c r="A1335" s="4">
        <v>201402</v>
      </c>
      <c r="B1335" t="s">
        <v>270</v>
      </c>
      <c r="C1335" s="5">
        <v>6538179</v>
      </c>
      <c r="D1335" s="2" t="s">
        <v>860</v>
      </c>
      <c r="E1335" s="2" t="s">
        <v>15</v>
      </c>
      <c r="F1335" s="3">
        <v>4.9</v>
      </c>
      <c r="H1335" s="1" t="s">
        <v>14</v>
      </c>
      <c r="I1335" t="s">
        <v>861</v>
      </c>
      <c r="J1335" t="s">
        <v>271</v>
      </c>
      <c r="K1335" t="s">
        <v>272</v>
      </c>
      <c r="L1335" t="s">
        <v>273</v>
      </c>
    </row>
    <row r="1336" spans="1:12" ht="15">
      <c r="A1336" s="4">
        <v>201402</v>
      </c>
      <c r="B1336" t="s">
        <v>270</v>
      </c>
      <c r="C1336" s="5">
        <v>6538179</v>
      </c>
      <c r="D1336" s="2" t="s">
        <v>860</v>
      </c>
      <c r="E1336" s="2" t="s">
        <v>15</v>
      </c>
      <c r="F1336" s="3">
        <v>7.13</v>
      </c>
      <c r="H1336" s="1" t="s">
        <v>14</v>
      </c>
      <c r="I1336" t="s">
        <v>862</v>
      </c>
      <c r="J1336" t="s">
        <v>271</v>
      </c>
      <c r="K1336" t="s">
        <v>272</v>
      </c>
      <c r="L1336" t="s">
        <v>273</v>
      </c>
    </row>
    <row r="1337" spans="1:12" ht="15">
      <c r="A1337" s="4">
        <v>201402</v>
      </c>
      <c r="B1337" t="s">
        <v>270</v>
      </c>
      <c r="C1337" s="5">
        <v>6538179</v>
      </c>
      <c r="D1337" s="2" t="s">
        <v>860</v>
      </c>
      <c r="E1337" s="2" t="s">
        <v>15</v>
      </c>
      <c r="F1337" s="3">
        <v>8</v>
      </c>
      <c r="H1337" s="1" t="s">
        <v>14</v>
      </c>
      <c r="I1337" t="s">
        <v>26</v>
      </c>
      <c r="J1337" t="s">
        <v>271</v>
      </c>
      <c r="K1337" t="s">
        <v>272</v>
      </c>
      <c r="L1337" t="s">
        <v>273</v>
      </c>
    </row>
    <row r="1338" spans="1:12" ht="15">
      <c r="A1338" s="4">
        <v>201402</v>
      </c>
      <c r="B1338" t="s">
        <v>270</v>
      </c>
      <c r="C1338" s="5">
        <v>6538179</v>
      </c>
      <c r="D1338" s="2" t="s">
        <v>860</v>
      </c>
      <c r="E1338" s="2" t="s">
        <v>15</v>
      </c>
      <c r="F1338" s="3">
        <v>52.09</v>
      </c>
      <c r="H1338" s="1" t="s">
        <v>14</v>
      </c>
      <c r="I1338" t="s">
        <v>863</v>
      </c>
      <c r="J1338" t="s">
        <v>271</v>
      </c>
      <c r="K1338" t="s">
        <v>272</v>
      </c>
      <c r="L1338" t="s">
        <v>273</v>
      </c>
    </row>
    <row r="1339" spans="1:12" ht="15">
      <c r="A1339" s="4">
        <v>201402</v>
      </c>
      <c r="B1339" t="s">
        <v>270</v>
      </c>
      <c r="C1339" s="5">
        <v>6538179</v>
      </c>
      <c r="D1339" s="2" t="s">
        <v>860</v>
      </c>
      <c r="E1339" s="2" t="s">
        <v>15</v>
      </c>
      <c r="F1339" s="3">
        <v>64.35</v>
      </c>
      <c r="H1339" s="1" t="s">
        <v>14</v>
      </c>
      <c r="I1339" t="s">
        <v>313</v>
      </c>
      <c r="J1339" t="s">
        <v>271</v>
      </c>
      <c r="K1339" t="s">
        <v>272</v>
      </c>
      <c r="L1339" t="s">
        <v>273</v>
      </c>
    </row>
    <row r="1340" spans="1:12" ht="15">
      <c r="A1340" s="4">
        <v>201402</v>
      </c>
      <c r="B1340" t="s">
        <v>270</v>
      </c>
      <c r="C1340" s="5">
        <v>6538179</v>
      </c>
      <c r="D1340" s="2" t="s">
        <v>860</v>
      </c>
      <c r="E1340" s="2" t="s">
        <v>15</v>
      </c>
      <c r="F1340" s="3">
        <v>94.52</v>
      </c>
      <c r="H1340" s="1" t="s">
        <v>14</v>
      </c>
      <c r="I1340" t="s">
        <v>108</v>
      </c>
      <c r="J1340" t="s">
        <v>271</v>
      </c>
      <c r="K1340" t="s">
        <v>272</v>
      </c>
      <c r="L1340" t="s">
        <v>273</v>
      </c>
    </row>
    <row r="1341" spans="1:12" ht="15">
      <c r="A1341" s="4">
        <v>201402</v>
      </c>
      <c r="B1341" t="s">
        <v>270</v>
      </c>
      <c r="C1341" s="5">
        <v>6538179</v>
      </c>
      <c r="D1341" s="2" t="s">
        <v>860</v>
      </c>
      <c r="E1341" s="2" t="s">
        <v>15</v>
      </c>
      <c r="F1341" s="3">
        <v>288.08</v>
      </c>
      <c r="H1341" s="1" t="s">
        <v>14</v>
      </c>
      <c r="I1341" t="s">
        <v>864</v>
      </c>
      <c r="J1341" t="s">
        <v>271</v>
      </c>
      <c r="K1341" t="s">
        <v>272</v>
      </c>
      <c r="L1341" t="s">
        <v>273</v>
      </c>
    </row>
    <row r="1342" spans="1:12" ht="15">
      <c r="A1342" s="4">
        <v>201403</v>
      </c>
      <c r="B1342" t="s">
        <v>270</v>
      </c>
      <c r="C1342" s="5">
        <v>6538179</v>
      </c>
      <c r="D1342" s="2" t="s">
        <v>860</v>
      </c>
      <c r="E1342" s="2" t="s">
        <v>15</v>
      </c>
      <c r="F1342" s="3">
        <v>3.93</v>
      </c>
      <c r="H1342" s="1" t="s">
        <v>14</v>
      </c>
      <c r="I1342" t="s">
        <v>308</v>
      </c>
      <c r="J1342" t="s">
        <v>271</v>
      </c>
      <c r="K1342" t="s">
        <v>272</v>
      </c>
      <c r="L1342" t="s">
        <v>273</v>
      </c>
    </row>
    <row r="1343" spans="1:12" ht="15">
      <c r="A1343" s="4">
        <v>201403</v>
      </c>
      <c r="B1343" t="s">
        <v>270</v>
      </c>
      <c r="C1343" s="5">
        <v>6538179</v>
      </c>
      <c r="D1343" s="2" t="s">
        <v>860</v>
      </c>
      <c r="E1343" s="2" t="s">
        <v>15</v>
      </c>
      <c r="F1343" s="3">
        <v>5.53</v>
      </c>
      <c r="H1343" s="1" t="s">
        <v>14</v>
      </c>
      <c r="I1343" t="s">
        <v>31</v>
      </c>
      <c r="J1343" t="s">
        <v>271</v>
      </c>
      <c r="K1343" t="s">
        <v>272</v>
      </c>
      <c r="L1343" t="s">
        <v>273</v>
      </c>
    </row>
    <row r="1344" spans="1:12" ht="15">
      <c r="A1344" s="4">
        <v>201403</v>
      </c>
      <c r="B1344" t="s">
        <v>270</v>
      </c>
      <c r="C1344" s="5">
        <v>6538179</v>
      </c>
      <c r="D1344" s="2" t="s">
        <v>860</v>
      </c>
      <c r="E1344" s="2" t="s">
        <v>15</v>
      </c>
      <c r="F1344" s="3">
        <v>9.05</v>
      </c>
      <c r="H1344" s="1" t="s">
        <v>14</v>
      </c>
      <c r="I1344" t="s">
        <v>339</v>
      </c>
      <c r="J1344" t="s">
        <v>271</v>
      </c>
      <c r="K1344" t="s">
        <v>272</v>
      </c>
      <c r="L1344" t="s">
        <v>273</v>
      </c>
    </row>
    <row r="1345" spans="1:12" ht="15">
      <c r="A1345" s="4">
        <v>201403</v>
      </c>
      <c r="B1345" t="s">
        <v>270</v>
      </c>
      <c r="C1345" s="5">
        <v>6538179</v>
      </c>
      <c r="D1345" s="2" t="s">
        <v>860</v>
      </c>
      <c r="E1345" s="2" t="s">
        <v>15</v>
      </c>
      <c r="F1345" s="3">
        <v>10.38</v>
      </c>
      <c r="H1345" s="1" t="s">
        <v>14</v>
      </c>
      <c r="I1345" t="s">
        <v>319</v>
      </c>
      <c r="J1345" t="s">
        <v>271</v>
      </c>
      <c r="K1345" t="s">
        <v>272</v>
      </c>
      <c r="L1345" t="s">
        <v>273</v>
      </c>
    </row>
    <row r="1346" spans="1:12" ht="15">
      <c r="A1346" s="4">
        <v>201403</v>
      </c>
      <c r="B1346" t="s">
        <v>270</v>
      </c>
      <c r="C1346" s="5">
        <v>6538179</v>
      </c>
      <c r="D1346" s="2" t="s">
        <v>860</v>
      </c>
      <c r="E1346" s="2" t="s">
        <v>15</v>
      </c>
      <c r="F1346" s="3">
        <v>11.56</v>
      </c>
      <c r="H1346" s="1" t="s">
        <v>14</v>
      </c>
      <c r="I1346" t="s">
        <v>338</v>
      </c>
      <c r="J1346" t="s">
        <v>271</v>
      </c>
      <c r="K1346" t="s">
        <v>272</v>
      </c>
      <c r="L1346" t="s">
        <v>273</v>
      </c>
    </row>
    <row r="1347" spans="1:12" ht="15">
      <c r="A1347" s="4">
        <v>201403</v>
      </c>
      <c r="B1347" t="s">
        <v>270</v>
      </c>
      <c r="C1347" s="5">
        <v>6538179</v>
      </c>
      <c r="D1347" s="2" t="s">
        <v>860</v>
      </c>
      <c r="E1347" s="2" t="s">
        <v>15</v>
      </c>
      <c r="F1347" s="3">
        <v>27</v>
      </c>
      <c r="H1347" s="1" t="s">
        <v>14</v>
      </c>
      <c r="I1347" t="s">
        <v>90</v>
      </c>
      <c r="J1347" t="s">
        <v>271</v>
      </c>
      <c r="K1347" t="s">
        <v>272</v>
      </c>
      <c r="L1347" t="s">
        <v>273</v>
      </c>
    </row>
    <row r="1348" spans="1:12" ht="15">
      <c r="A1348" s="4">
        <v>201403</v>
      </c>
      <c r="B1348" t="s">
        <v>270</v>
      </c>
      <c r="C1348" s="5">
        <v>6538179</v>
      </c>
      <c r="D1348" s="2" t="s">
        <v>860</v>
      </c>
      <c r="E1348" s="2" t="s">
        <v>15</v>
      </c>
      <c r="F1348" s="3">
        <v>34.21</v>
      </c>
      <c r="H1348" s="1" t="s">
        <v>14</v>
      </c>
      <c r="I1348" t="s">
        <v>263</v>
      </c>
      <c r="J1348" t="s">
        <v>271</v>
      </c>
      <c r="K1348" t="s">
        <v>272</v>
      </c>
      <c r="L1348" t="s">
        <v>273</v>
      </c>
    </row>
    <row r="1349" spans="1:12" ht="15">
      <c r="A1349" s="4">
        <v>201403</v>
      </c>
      <c r="B1349" t="s">
        <v>270</v>
      </c>
      <c r="C1349" s="5">
        <v>6538179</v>
      </c>
      <c r="D1349" s="2" t="s">
        <v>860</v>
      </c>
      <c r="E1349" s="2" t="s">
        <v>15</v>
      </c>
      <c r="F1349" s="3">
        <v>40.2</v>
      </c>
      <c r="H1349" s="1" t="s">
        <v>14</v>
      </c>
      <c r="I1349" t="s">
        <v>38</v>
      </c>
      <c r="J1349" t="s">
        <v>271</v>
      </c>
      <c r="K1349" t="s">
        <v>272</v>
      </c>
      <c r="L1349" t="s">
        <v>273</v>
      </c>
    </row>
    <row r="1350" spans="1:12" ht="15">
      <c r="A1350" s="4">
        <v>201403</v>
      </c>
      <c r="B1350" t="s">
        <v>270</v>
      </c>
      <c r="C1350" s="5">
        <v>6538179</v>
      </c>
      <c r="D1350" s="2" t="s">
        <v>860</v>
      </c>
      <c r="E1350" s="2" t="s">
        <v>15</v>
      </c>
      <c r="F1350" s="3">
        <v>53.17</v>
      </c>
      <c r="H1350" s="1" t="s">
        <v>14</v>
      </c>
      <c r="I1350" t="s">
        <v>89</v>
      </c>
      <c r="J1350" t="s">
        <v>271</v>
      </c>
      <c r="K1350" t="s">
        <v>272</v>
      </c>
      <c r="L1350" t="s">
        <v>273</v>
      </c>
    </row>
    <row r="1351" spans="1:12" ht="15">
      <c r="A1351" s="4">
        <v>201405</v>
      </c>
      <c r="B1351" t="s">
        <v>270</v>
      </c>
      <c r="C1351" s="5">
        <v>6538179</v>
      </c>
      <c r="D1351" s="2" t="s">
        <v>860</v>
      </c>
      <c r="E1351" s="2" t="s">
        <v>15</v>
      </c>
      <c r="F1351" s="3">
        <v>-1950</v>
      </c>
      <c r="H1351" s="1" t="s">
        <v>43</v>
      </c>
      <c r="I1351" t="s">
        <v>865</v>
      </c>
      <c r="J1351" t="s">
        <v>271</v>
      </c>
      <c r="K1351" t="s">
        <v>272</v>
      </c>
      <c r="L1351" t="s">
        <v>273</v>
      </c>
    </row>
    <row r="1352" spans="1:13" ht="15">
      <c r="A1352" s="4">
        <v>201403</v>
      </c>
      <c r="B1352" t="s">
        <v>270</v>
      </c>
      <c r="C1352" s="5">
        <v>6538179</v>
      </c>
      <c r="D1352" s="2" t="s">
        <v>860</v>
      </c>
      <c r="E1352" s="2" t="s">
        <v>15</v>
      </c>
      <c r="F1352" s="3">
        <v>463</v>
      </c>
      <c r="G1352" t="s">
        <v>866</v>
      </c>
      <c r="H1352" s="1" t="s">
        <v>44</v>
      </c>
      <c r="I1352" t="s">
        <v>867</v>
      </c>
      <c r="J1352" t="s">
        <v>271</v>
      </c>
      <c r="K1352" t="s">
        <v>272</v>
      </c>
      <c r="L1352" t="s">
        <v>273</v>
      </c>
      <c r="M1352">
        <v>898935</v>
      </c>
    </row>
    <row r="1353" spans="1:13" ht="15">
      <c r="A1353" s="4">
        <v>201403</v>
      </c>
      <c r="B1353" t="s">
        <v>270</v>
      </c>
      <c r="C1353" s="5">
        <v>6538179</v>
      </c>
      <c r="D1353" s="2" t="s">
        <v>860</v>
      </c>
      <c r="E1353" s="2" t="s">
        <v>15</v>
      </c>
      <c r="F1353" s="3">
        <v>3848</v>
      </c>
      <c r="G1353" t="s">
        <v>866</v>
      </c>
      <c r="H1353" s="1" t="s">
        <v>44</v>
      </c>
      <c r="I1353" t="s">
        <v>868</v>
      </c>
      <c r="J1353" t="s">
        <v>271</v>
      </c>
      <c r="K1353" t="s">
        <v>272</v>
      </c>
      <c r="L1353" t="s">
        <v>273</v>
      </c>
      <c r="M1353">
        <v>898935</v>
      </c>
    </row>
    <row r="1354" spans="1:13" ht="15">
      <c r="A1354" s="4">
        <v>201403</v>
      </c>
      <c r="B1354" t="s">
        <v>270</v>
      </c>
      <c r="C1354" s="5">
        <v>6538179</v>
      </c>
      <c r="D1354" s="2" t="s">
        <v>860</v>
      </c>
      <c r="E1354" s="2" t="s">
        <v>15</v>
      </c>
      <c r="F1354" s="3">
        <v>9300</v>
      </c>
      <c r="G1354" t="s">
        <v>866</v>
      </c>
      <c r="H1354" s="1" t="s">
        <v>44</v>
      </c>
      <c r="I1354" t="e">
        <f>-TC2 Turbine Oil Cooler Shell-side cleaning</f>
        <v>#NAME?</v>
      </c>
      <c r="J1354" t="s">
        <v>271</v>
      </c>
      <c r="K1354" t="s">
        <v>272</v>
      </c>
      <c r="L1354" t="s">
        <v>273</v>
      </c>
      <c r="M1354">
        <v>898935</v>
      </c>
    </row>
    <row r="1355" spans="1:13" ht="15">
      <c r="A1355" s="4">
        <v>201403</v>
      </c>
      <c r="B1355" t="s">
        <v>270</v>
      </c>
      <c r="C1355" s="5">
        <v>6538179</v>
      </c>
      <c r="D1355" s="2" t="s">
        <v>860</v>
      </c>
      <c r="E1355" s="2" t="s">
        <v>15</v>
      </c>
      <c r="F1355" s="3">
        <v>34279</v>
      </c>
      <c r="G1355" t="s">
        <v>869</v>
      </c>
      <c r="H1355" s="1" t="s">
        <v>44</v>
      </c>
      <c r="I1355" t="e">
        <f>-Duncan TO Remove and reinstall Turbine lube Oil Cooler</f>
        <v>#NAME?</v>
      </c>
      <c r="J1355" t="s">
        <v>271</v>
      </c>
      <c r="K1355" t="s">
        <v>272</v>
      </c>
      <c r="L1355" t="s">
        <v>273</v>
      </c>
      <c r="M1355">
        <v>898903</v>
      </c>
    </row>
    <row r="1356" spans="1:13" ht="15">
      <c r="A1356" s="4">
        <v>201403</v>
      </c>
      <c r="B1356" t="s">
        <v>270</v>
      </c>
      <c r="C1356" s="5">
        <v>6538179</v>
      </c>
      <c r="D1356" s="2" t="s">
        <v>860</v>
      </c>
      <c r="E1356" s="2" t="s">
        <v>15</v>
      </c>
      <c r="F1356" s="3">
        <v>877.58</v>
      </c>
      <c r="G1356" t="s">
        <v>49</v>
      </c>
      <c r="H1356" s="1" t="s">
        <v>46</v>
      </c>
      <c r="I1356" t="s">
        <v>870</v>
      </c>
      <c r="J1356" t="s">
        <v>271</v>
      </c>
      <c r="K1356" t="s">
        <v>272</v>
      </c>
      <c r="L1356" t="s">
        <v>273</v>
      </c>
      <c r="M1356">
        <v>901401</v>
      </c>
    </row>
    <row r="1357" spans="1:13" ht="15">
      <c r="A1357" s="4">
        <v>201403</v>
      </c>
      <c r="B1357" t="s">
        <v>270</v>
      </c>
      <c r="C1357" s="5">
        <v>6538179</v>
      </c>
      <c r="D1357" s="2" t="s">
        <v>860</v>
      </c>
      <c r="E1357" s="2" t="s">
        <v>15</v>
      </c>
      <c r="F1357" s="3">
        <v>1376.37</v>
      </c>
      <c r="G1357" t="s">
        <v>73</v>
      </c>
      <c r="H1357" s="1" t="s">
        <v>46</v>
      </c>
      <c r="I1357" t="s">
        <v>94</v>
      </c>
      <c r="J1357" t="s">
        <v>271</v>
      </c>
      <c r="K1357" t="s">
        <v>272</v>
      </c>
      <c r="L1357" t="s">
        <v>273</v>
      </c>
      <c r="M1357">
        <v>902317</v>
      </c>
    </row>
    <row r="1358" spans="1:12" ht="15">
      <c r="A1358" s="4">
        <v>201402</v>
      </c>
      <c r="B1358" t="s">
        <v>270</v>
      </c>
      <c r="C1358" s="5">
        <v>6538179</v>
      </c>
      <c r="D1358" s="2" t="s">
        <v>860</v>
      </c>
      <c r="E1358" s="2" t="s">
        <v>15</v>
      </c>
      <c r="F1358" s="3">
        <v>17.82</v>
      </c>
      <c r="H1358" s="1" t="s">
        <v>66</v>
      </c>
      <c r="I1358" t="s">
        <v>67</v>
      </c>
      <c r="J1358" t="s">
        <v>271</v>
      </c>
      <c r="K1358" t="s">
        <v>272</v>
      </c>
      <c r="L1358" t="s">
        <v>273</v>
      </c>
    </row>
    <row r="1359" spans="1:12" ht="15">
      <c r="A1359" s="4">
        <v>201403</v>
      </c>
      <c r="B1359" t="s">
        <v>270</v>
      </c>
      <c r="C1359" s="5">
        <v>6538179</v>
      </c>
      <c r="D1359" s="2" t="s">
        <v>860</v>
      </c>
      <c r="E1359" s="2" t="s">
        <v>15</v>
      </c>
      <c r="F1359" s="3">
        <v>7.67</v>
      </c>
      <c r="H1359" s="1" t="s">
        <v>66</v>
      </c>
      <c r="I1359" t="s">
        <v>67</v>
      </c>
      <c r="J1359" t="s">
        <v>271</v>
      </c>
      <c r="K1359" t="s">
        <v>272</v>
      </c>
      <c r="L1359" t="s">
        <v>273</v>
      </c>
    </row>
    <row r="1360" spans="1:12" ht="15">
      <c r="A1360" s="4">
        <v>201402</v>
      </c>
      <c r="B1360" t="s">
        <v>270</v>
      </c>
      <c r="C1360" s="5">
        <v>6538179</v>
      </c>
      <c r="D1360" s="2" t="s">
        <v>860</v>
      </c>
      <c r="E1360" s="2" t="s">
        <v>15</v>
      </c>
      <c r="F1360" s="3">
        <v>0</v>
      </c>
      <c r="H1360" s="1" t="s">
        <v>68</v>
      </c>
      <c r="J1360" t="s">
        <v>271</v>
      </c>
      <c r="K1360" t="s">
        <v>272</v>
      </c>
      <c r="L1360" t="s">
        <v>273</v>
      </c>
    </row>
    <row r="1361" spans="1:12" ht="15">
      <c r="A1361" s="4">
        <v>201402</v>
      </c>
      <c r="B1361" t="s">
        <v>270</v>
      </c>
      <c r="C1361" s="5">
        <v>6538179</v>
      </c>
      <c r="D1361" s="2" t="s">
        <v>860</v>
      </c>
      <c r="E1361" s="2" t="s">
        <v>15</v>
      </c>
      <c r="F1361" s="3">
        <v>0</v>
      </c>
      <c r="H1361" s="1" t="s">
        <v>68</v>
      </c>
      <c r="J1361" t="s">
        <v>271</v>
      </c>
      <c r="K1361" t="s">
        <v>272</v>
      </c>
      <c r="L1361" t="s">
        <v>273</v>
      </c>
    </row>
    <row r="1362" spans="1:12" ht="15">
      <c r="A1362" s="4">
        <v>201402</v>
      </c>
      <c r="B1362" t="s">
        <v>270</v>
      </c>
      <c r="C1362" s="5">
        <v>6538179</v>
      </c>
      <c r="D1362" s="2" t="s">
        <v>860</v>
      </c>
      <c r="E1362" s="2" t="s">
        <v>15</v>
      </c>
      <c r="F1362" s="3">
        <v>12</v>
      </c>
      <c r="H1362" s="1" t="s">
        <v>68</v>
      </c>
      <c r="J1362" t="s">
        <v>271</v>
      </c>
      <c r="K1362" t="s">
        <v>272</v>
      </c>
      <c r="L1362" t="s">
        <v>273</v>
      </c>
    </row>
    <row r="1363" spans="1:12" ht="15">
      <c r="A1363" s="4">
        <v>201403</v>
      </c>
      <c r="B1363" t="s">
        <v>270</v>
      </c>
      <c r="C1363" s="5">
        <v>6538179</v>
      </c>
      <c r="D1363" s="2" t="s">
        <v>860</v>
      </c>
      <c r="E1363" s="2" t="s">
        <v>15</v>
      </c>
      <c r="F1363" s="3">
        <v>0</v>
      </c>
      <c r="H1363" s="1" t="s">
        <v>68</v>
      </c>
      <c r="J1363" t="s">
        <v>271</v>
      </c>
      <c r="K1363" t="s">
        <v>272</v>
      </c>
      <c r="L1363" t="s">
        <v>273</v>
      </c>
    </row>
    <row r="1364" spans="1:12" ht="15">
      <c r="A1364" s="4">
        <v>201403</v>
      </c>
      <c r="B1364" t="s">
        <v>270</v>
      </c>
      <c r="C1364" s="5">
        <v>6538179</v>
      </c>
      <c r="D1364" s="2" t="s">
        <v>860</v>
      </c>
      <c r="E1364" s="2" t="s">
        <v>15</v>
      </c>
      <c r="F1364" s="3">
        <v>6</v>
      </c>
      <c r="H1364" s="1" t="s">
        <v>68</v>
      </c>
      <c r="J1364" t="s">
        <v>271</v>
      </c>
      <c r="K1364" t="s">
        <v>272</v>
      </c>
      <c r="L1364" t="s">
        <v>273</v>
      </c>
    </row>
    <row r="1365" spans="1:14" ht="15">
      <c r="A1365" s="4">
        <v>201403</v>
      </c>
      <c r="B1365" t="s">
        <v>270</v>
      </c>
      <c r="C1365" s="5">
        <v>6538904</v>
      </c>
      <c r="D1365" s="2" t="s">
        <v>133</v>
      </c>
      <c r="E1365" s="2" t="s">
        <v>15</v>
      </c>
      <c r="F1365" s="3">
        <v>72.38</v>
      </c>
      <c r="G1365" t="s">
        <v>57</v>
      </c>
      <c r="H1365" s="1" t="s">
        <v>60</v>
      </c>
      <c r="I1365">
        <f>-72123/4094348/1</f>
        <v>-0.017615258888594717</v>
      </c>
      <c r="J1365" t="s">
        <v>271</v>
      </c>
      <c r="K1365" t="s">
        <v>272</v>
      </c>
      <c r="L1365" t="s">
        <v>273</v>
      </c>
      <c r="N1365" t="s">
        <v>58</v>
      </c>
    </row>
    <row r="1366" spans="1:13" ht="15">
      <c r="A1366" s="4">
        <v>201403</v>
      </c>
      <c r="B1366" t="s">
        <v>270</v>
      </c>
      <c r="C1366" s="5">
        <v>6538904</v>
      </c>
      <c r="D1366" s="2" t="s">
        <v>133</v>
      </c>
      <c r="E1366" s="2" t="s">
        <v>15</v>
      </c>
      <c r="F1366" s="3">
        <v>1182.12</v>
      </c>
      <c r="G1366" t="s">
        <v>110</v>
      </c>
      <c r="H1366" s="1" t="s">
        <v>60</v>
      </c>
      <c r="I1366" t="s">
        <v>871</v>
      </c>
      <c r="J1366" t="s">
        <v>271</v>
      </c>
      <c r="K1366" t="s">
        <v>272</v>
      </c>
      <c r="L1366" t="s">
        <v>273</v>
      </c>
      <c r="M1366">
        <v>900101</v>
      </c>
    </row>
    <row r="1367" spans="1:12" ht="15">
      <c r="A1367" s="4">
        <v>201403</v>
      </c>
      <c r="B1367" t="s">
        <v>270</v>
      </c>
      <c r="C1367" s="5">
        <v>6538904</v>
      </c>
      <c r="D1367" s="2" t="s">
        <v>133</v>
      </c>
      <c r="E1367" s="2" t="s">
        <v>15</v>
      </c>
      <c r="F1367" s="3">
        <v>1.34</v>
      </c>
      <c r="H1367" s="1" t="s">
        <v>66</v>
      </c>
      <c r="I1367" t="s">
        <v>67</v>
      </c>
      <c r="J1367" t="s">
        <v>271</v>
      </c>
      <c r="K1367" t="s">
        <v>272</v>
      </c>
      <c r="L1367" t="s">
        <v>273</v>
      </c>
    </row>
    <row r="1368" spans="1:14" ht="15">
      <c r="A1368" s="4">
        <v>201403</v>
      </c>
      <c r="B1368" t="s">
        <v>270</v>
      </c>
      <c r="C1368" s="5">
        <v>6538904</v>
      </c>
      <c r="D1368" s="2" t="s">
        <v>133</v>
      </c>
      <c r="E1368" s="2" t="s">
        <v>15</v>
      </c>
      <c r="F1368" s="3">
        <v>0.77</v>
      </c>
      <c r="G1368" t="s">
        <v>57</v>
      </c>
      <c r="H1368" s="1" t="s">
        <v>69</v>
      </c>
      <c r="I1368">
        <f>-72123/4095013/1</f>
        <v>-0.017612398300078658</v>
      </c>
      <c r="J1368" t="s">
        <v>271</v>
      </c>
      <c r="K1368" t="s">
        <v>272</v>
      </c>
      <c r="L1368" t="s">
        <v>273</v>
      </c>
      <c r="N1368" t="s">
        <v>58</v>
      </c>
    </row>
    <row r="1369" spans="1:12" ht="15">
      <c r="A1369" s="4">
        <v>201403</v>
      </c>
      <c r="B1369" t="s">
        <v>270</v>
      </c>
      <c r="C1369" s="5">
        <v>6538904</v>
      </c>
      <c r="D1369" s="2" t="s">
        <v>133</v>
      </c>
      <c r="E1369" s="2" t="s">
        <v>15</v>
      </c>
      <c r="F1369" s="3">
        <v>12.77</v>
      </c>
      <c r="G1369" t="s">
        <v>110</v>
      </c>
      <c r="H1369" s="1" t="s">
        <v>69</v>
      </c>
      <c r="I1369" t="s">
        <v>872</v>
      </c>
      <c r="J1369" t="s">
        <v>271</v>
      </c>
      <c r="K1369" t="s">
        <v>272</v>
      </c>
      <c r="L1369" t="s">
        <v>273</v>
      </c>
    </row>
    <row r="1370" spans="1:13" ht="15">
      <c r="A1370" s="4">
        <v>201403</v>
      </c>
      <c r="B1370" t="s">
        <v>270</v>
      </c>
      <c r="C1370" s="5">
        <v>6538933</v>
      </c>
      <c r="D1370" s="2" t="s">
        <v>874</v>
      </c>
      <c r="E1370" s="2" t="s">
        <v>15</v>
      </c>
      <c r="F1370" s="3">
        <v>1817.5</v>
      </c>
      <c r="G1370" t="s">
        <v>79</v>
      </c>
      <c r="H1370" s="1" t="s">
        <v>78</v>
      </c>
      <c r="I1370" t="s">
        <v>873</v>
      </c>
      <c r="J1370" t="s">
        <v>271</v>
      </c>
      <c r="K1370" t="s">
        <v>272</v>
      </c>
      <c r="L1370" t="s">
        <v>273</v>
      </c>
      <c r="M1370">
        <v>901322</v>
      </c>
    </row>
    <row r="1371" spans="1:13" ht="15">
      <c r="A1371" s="4">
        <v>201403</v>
      </c>
      <c r="B1371" t="s">
        <v>270</v>
      </c>
      <c r="C1371" s="5">
        <v>6538933</v>
      </c>
      <c r="D1371" s="2" t="s">
        <v>874</v>
      </c>
      <c r="E1371" s="2" t="s">
        <v>15</v>
      </c>
      <c r="F1371" s="3">
        <v>1817.5</v>
      </c>
      <c r="G1371" t="s">
        <v>79</v>
      </c>
      <c r="H1371" s="1" t="s">
        <v>78</v>
      </c>
      <c r="I1371" t="s">
        <v>875</v>
      </c>
      <c r="J1371" t="s">
        <v>271</v>
      </c>
      <c r="K1371" t="s">
        <v>272</v>
      </c>
      <c r="L1371" t="s">
        <v>273</v>
      </c>
      <c r="M1371">
        <v>901320</v>
      </c>
    </row>
    <row r="1372" spans="1:13" ht="15">
      <c r="A1372" s="4">
        <v>201404</v>
      </c>
      <c r="B1372" t="s">
        <v>270</v>
      </c>
      <c r="C1372" s="5">
        <v>6538933</v>
      </c>
      <c r="D1372" s="2" t="s">
        <v>874</v>
      </c>
      <c r="E1372" s="2" t="s">
        <v>15</v>
      </c>
      <c r="F1372" s="3">
        <v>1579.05</v>
      </c>
      <c r="G1372" t="s">
        <v>79</v>
      </c>
      <c r="H1372" s="1" t="s">
        <v>78</v>
      </c>
      <c r="I1372" t="s">
        <v>876</v>
      </c>
      <c r="J1372" t="s">
        <v>271</v>
      </c>
      <c r="K1372" t="s">
        <v>272</v>
      </c>
      <c r="L1372" t="s">
        <v>273</v>
      </c>
      <c r="M1372">
        <v>902794</v>
      </c>
    </row>
    <row r="1373" spans="1:13" ht="15">
      <c r="A1373" s="4">
        <v>201404</v>
      </c>
      <c r="B1373" t="s">
        <v>270</v>
      </c>
      <c r="C1373" s="5">
        <v>6538933</v>
      </c>
      <c r="D1373" s="2" t="s">
        <v>874</v>
      </c>
      <c r="E1373" s="2" t="s">
        <v>15</v>
      </c>
      <c r="F1373" s="3">
        <v>6833.88</v>
      </c>
      <c r="G1373" t="s">
        <v>79</v>
      </c>
      <c r="H1373" s="1" t="s">
        <v>78</v>
      </c>
      <c r="I1373" t="s">
        <v>877</v>
      </c>
      <c r="J1373" t="s">
        <v>271</v>
      </c>
      <c r="K1373" t="s">
        <v>272</v>
      </c>
      <c r="L1373" t="s">
        <v>273</v>
      </c>
      <c r="M1373">
        <v>903203</v>
      </c>
    </row>
    <row r="1374" spans="1:13" ht="15">
      <c r="A1374" s="4">
        <v>201405</v>
      </c>
      <c r="B1374" t="s">
        <v>270</v>
      </c>
      <c r="C1374" s="5">
        <v>6538933</v>
      </c>
      <c r="D1374" s="2" t="s">
        <v>874</v>
      </c>
      <c r="E1374" s="2" t="s">
        <v>15</v>
      </c>
      <c r="F1374" s="3">
        <v>509.85</v>
      </c>
      <c r="G1374" t="s">
        <v>79</v>
      </c>
      <c r="H1374" s="1" t="s">
        <v>78</v>
      </c>
      <c r="I1374" t="s">
        <v>878</v>
      </c>
      <c r="J1374" t="s">
        <v>271</v>
      </c>
      <c r="K1374" t="s">
        <v>272</v>
      </c>
      <c r="L1374" t="s">
        <v>273</v>
      </c>
      <c r="M1374">
        <v>904779</v>
      </c>
    </row>
    <row r="1375" spans="1:13" ht="15">
      <c r="A1375" s="4">
        <v>201405</v>
      </c>
      <c r="B1375" t="s">
        <v>270</v>
      </c>
      <c r="C1375" s="5">
        <v>6538933</v>
      </c>
      <c r="D1375" s="2" t="s">
        <v>874</v>
      </c>
      <c r="E1375" s="2" t="s">
        <v>15</v>
      </c>
      <c r="F1375" s="3">
        <v>521.23</v>
      </c>
      <c r="G1375" t="s">
        <v>79</v>
      </c>
      <c r="H1375" s="1" t="s">
        <v>78</v>
      </c>
      <c r="I1375" t="s">
        <v>879</v>
      </c>
      <c r="J1375" t="s">
        <v>271</v>
      </c>
      <c r="K1375" t="s">
        <v>272</v>
      </c>
      <c r="L1375" t="s">
        <v>273</v>
      </c>
      <c r="M1375">
        <v>904776</v>
      </c>
    </row>
    <row r="1376" spans="1:13" ht="15">
      <c r="A1376" s="4">
        <v>201405</v>
      </c>
      <c r="B1376" t="s">
        <v>270</v>
      </c>
      <c r="C1376" s="5">
        <v>6538933</v>
      </c>
      <c r="D1376" s="2" t="s">
        <v>874</v>
      </c>
      <c r="E1376" s="2" t="s">
        <v>15</v>
      </c>
      <c r="F1376" s="3">
        <v>5292.54</v>
      </c>
      <c r="G1376" t="s">
        <v>79</v>
      </c>
      <c r="H1376" s="1" t="s">
        <v>78</v>
      </c>
      <c r="I1376" t="s">
        <v>880</v>
      </c>
      <c r="J1376" t="s">
        <v>271</v>
      </c>
      <c r="K1376" t="s">
        <v>272</v>
      </c>
      <c r="L1376" t="s">
        <v>273</v>
      </c>
      <c r="M1376">
        <v>904780</v>
      </c>
    </row>
    <row r="1377" spans="1:13" ht="15">
      <c r="A1377" s="4">
        <v>201403</v>
      </c>
      <c r="B1377" t="s">
        <v>270</v>
      </c>
      <c r="C1377" s="5">
        <v>6538933</v>
      </c>
      <c r="D1377" s="2" t="s">
        <v>874</v>
      </c>
      <c r="E1377" s="2" t="s">
        <v>15</v>
      </c>
      <c r="F1377" s="3">
        <v>1152.88</v>
      </c>
      <c r="G1377" t="s">
        <v>79</v>
      </c>
      <c r="H1377" s="1" t="s">
        <v>46</v>
      </c>
      <c r="I1377" t="s">
        <v>875</v>
      </c>
      <c r="J1377" t="s">
        <v>271</v>
      </c>
      <c r="K1377" t="s">
        <v>272</v>
      </c>
      <c r="L1377" t="s">
        <v>273</v>
      </c>
      <c r="M1377">
        <v>901320</v>
      </c>
    </row>
    <row r="1378" spans="1:13" ht="15">
      <c r="A1378" s="4">
        <v>201403</v>
      </c>
      <c r="B1378" t="s">
        <v>270</v>
      </c>
      <c r="C1378" s="5">
        <v>6538933</v>
      </c>
      <c r="D1378" s="2" t="s">
        <v>874</v>
      </c>
      <c r="E1378" s="2" t="s">
        <v>15</v>
      </c>
      <c r="F1378" s="3">
        <v>1393.48</v>
      </c>
      <c r="G1378" t="s">
        <v>79</v>
      </c>
      <c r="H1378" s="1" t="s">
        <v>46</v>
      </c>
      <c r="I1378" t="s">
        <v>873</v>
      </c>
      <c r="J1378" t="s">
        <v>271</v>
      </c>
      <c r="K1378" t="s">
        <v>272</v>
      </c>
      <c r="L1378" t="s">
        <v>273</v>
      </c>
      <c r="M1378">
        <v>901322</v>
      </c>
    </row>
    <row r="1379" spans="1:13" ht="15">
      <c r="A1379" s="4">
        <v>201404</v>
      </c>
      <c r="B1379" t="s">
        <v>270</v>
      </c>
      <c r="C1379" s="5">
        <v>6538933</v>
      </c>
      <c r="D1379" s="2" t="s">
        <v>874</v>
      </c>
      <c r="E1379" s="2" t="s">
        <v>15</v>
      </c>
      <c r="F1379" s="3">
        <v>1726.91</v>
      </c>
      <c r="G1379" t="s">
        <v>79</v>
      </c>
      <c r="H1379" s="1" t="s">
        <v>46</v>
      </c>
      <c r="I1379" t="s">
        <v>876</v>
      </c>
      <c r="J1379" t="s">
        <v>271</v>
      </c>
      <c r="K1379" t="s">
        <v>272</v>
      </c>
      <c r="L1379" t="s">
        <v>273</v>
      </c>
      <c r="M1379">
        <v>902794</v>
      </c>
    </row>
    <row r="1380" spans="1:13" ht="15">
      <c r="A1380" s="4">
        <v>201404</v>
      </c>
      <c r="B1380" t="s">
        <v>270</v>
      </c>
      <c r="C1380" s="5">
        <v>6538933</v>
      </c>
      <c r="D1380" s="2" t="s">
        <v>874</v>
      </c>
      <c r="E1380" s="2" t="s">
        <v>15</v>
      </c>
      <c r="F1380" s="3">
        <v>8566.87</v>
      </c>
      <c r="G1380" t="s">
        <v>79</v>
      </c>
      <c r="H1380" s="1" t="s">
        <v>46</v>
      </c>
      <c r="I1380" t="s">
        <v>877</v>
      </c>
      <c r="J1380" t="s">
        <v>271</v>
      </c>
      <c r="K1380" t="s">
        <v>272</v>
      </c>
      <c r="L1380" t="s">
        <v>273</v>
      </c>
      <c r="M1380">
        <v>903203</v>
      </c>
    </row>
    <row r="1381" spans="1:13" ht="15">
      <c r="A1381" s="4">
        <v>201405</v>
      </c>
      <c r="B1381" t="s">
        <v>270</v>
      </c>
      <c r="C1381" s="5">
        <v>6538933</v>
      </c>
      <c r="D1381" s="2" t="s">
        <v>874</v>
      </c>
      <c r="E1381" s="2" t="s">
        <v>15</v>
      </c>
      <c r="F1381" s="3">
        <v>421.52</v>
      </c>
      <c r="G1381" t="s">
        <v>119</v>
      </c>
      <c r="H1381" s="1" t="s">
        <v>46</v>
      </c>
      <c r="I1381" t="s">
        <v>697</v>
      </c>
      <c r="J1381" t="s">
        <v>271</v>
      </c>
      <c r="K1381" t="s">
        <v>272</v>
      </c>
      <c r="L1381" t="s">
        <v>273</v>
      </c>
      <c r="M1381">
        <v>905659</v>
      </c>
    </row>
    <row r="1382" spans="1:13" ht="15">
      <c r="A1382" s="4">
        <v>201405</v>
      </c>
      <c r="B1382" t="s">
        <v>270</v>
      </c>
      <c r="C1382" s="5">
        <v>6538933</v>
      </c>
      <c r="D1382" s="2" t="s">
        <v>874</v>
      </c>
      <c r="E1382" s="2" t="s">
        <v>15</v>
      </c>
      <c r="F1382" s="3">
        <v>604.4</v>
      </c>
      <c r="G1382" t="s">
        <v>79</v>
      </c>
      <c r="H1382" s="1" t="s">
        <v>46</v>
      </c>
      <c r="I1382" t="s">
        <v>879</v>
      </c>
      <c r="J1382" t="s">
        <v>271</v>
      </c>
      <c r="K1382" t="s">
        <v>272</v>
      </c>
      <c r="L1382" t="s">
        <v>273</v>
      </c>
      <c r="M1382">
        <v>904776</v>
      </c>
    </row>
    <row r="1383" spans="1:13" ht="15">
      <c r="A1383" s="4">
        <v>201405</v>
      </c>
      <c r="B1383" t="s">
        <v>270</v>
      </c>
      <c r="C1383" s="5">
        <v>6538933</v>
      </c>
      <c r="D1383" s="2" t="s">
        <v>874</v>
      </c>
      <c r="E1383" s="2" t="s">
        <v>15</v>
      </c>
      <c r="F1383" s="3">
        <v>633.5</v>
      </c>
      <c r="G1383" t="s">
        <v>79</v>
      </c>
      <c r="H1383" s="1" t="s">
        <v>46</v>
      </c>
      <c r="I1383" t="s">
        <v>878</v>
      </c>
      <c r="J1383" t="s">
        <v>271</v>
      </c>
      <c r="K1383" t="s">
        <v>272</v>
      </c>
      <c r="L1383" t="s">
        <v>273</v>
      </c>
      <c r="M1383">
        <v>904779</v>
      </c>
    </row>
    <row r="1384" spans="1:13" ht="15">
      <c r="A1384" s="4">
        <v>201405</v>
      </c>
      <c r="B1384" t="s">
        <v>270</v>
      </c>
      <c r="C1384" s="5">
        <v>6538933</v>
      </c>
      <c r="D1384" s="2" t="s">
        <v>874</v>
      </c>
      <c r="E1384" s="2" t="s">
        <v>15</v>
      </c>
      <c r="F1384" s="3">
        <v>5453.81</v>
      </c>
      <c r="G1384" t="s">
        <v>79</v>
      </c>
      <c r="H1384" s="1" t="s">
        <v>46</v>
      </c>
      <c r="I1384" t="s">
        <v>880</v>
      </c>
      <c r="J1384" t="s">
        <v>271</v>
      </c>
      <c r="K1384" t="s">
        <v>272</v>
      </c>
      <c r="L1384" t="s">
        <v>273</v>
      </c>
      <c r="M1384">
        <v>904780</v>
      </c>
    </row>
    <row r="1385" spans="1:12" ht="15">
      <c r="A1385" s="4">
        <v>201404</v>
      </c>
      <c r="B1385" t="s">
        <v>270</v>
      </c>
      <c r="C1385" s="5">
        <v>6538933</v>
      </c>
      <c r="D1385" s="2" t="s">
        <v>874</v>
      </c>
      <c r="E1385" s="2" t="s">
        <v>15</v>
      </c>
      <c r="F1385" s="3">
        <v>2.51</v>
      </c>
      <c r="H1385" s="1" t="s">
        <v>66</v>
      </c>
      <c r="I1385" t="s">
        <v>67</v>
      </c>
      <c r="J1385" t="s">
        <v>271</v>
      </c>
      <c r="K1385" t="s">
        <v>272</v>
      </c>
      <c r="L1385" t="s">
        <v>273</v>
      </c>
    </row>
    <row r="1386" spans="1:13" ht="15">
      <c r="A1386" s="4">
        <v>201404</v>
      </c>
      <c r="B1386" t="s">
        <v>270</v>
      </c>
      <c r="C1386" s="5">
        <v>6538933</v>
      </c>
      <c r="D1386" s="2" t="s">
        <v>874</v>
      </c>
      <c r="E1386" s="2" t="s">
        <v>15</v>
      </c>
      <c r="F1386" s="3">
        <v>3637</v>
      </c>
      <c r="G1386" t="s">
        <v>881</v>
      </c>
      <c r="H1386" s="1" t="s">
        <v>755</v>
      </c>
      <c r="I1386" t="e">
        <f>-#REF! Bobcat Loader and #REF! Loader Rent</f>
        <v>#REF!</v>
      </c>
      <c r="J1386" t="s">
        <v>271</v>
      </c>
      <c r="K1386" t="s">
        <v>272</v>
      </c>
      <c r="L1386" t="s">
        <v>273</v>
      </c>
      <c r="M1386">
        <v>903550</v>
      </c>
    </row>
    <row r="1387" spans="1:12" ht="15">
      <c r="A1387" s="4">
        <v>201403</v>
      </c>
      <c r="B1387" t="s">
        <v>270</v>
      </c>
      <c r="C1387" s="5">
        <v>6539015</v>
      </c>
      <c r="D1387" s="2" t="s">
        <v>882</v>
      </c>
      <c r="E1387" s="2" t="s">
        <v>15</v>
      </c>
      <c r="F1387" s="3">
        <v>0.54</v>
      </c>
      <c r="H1387" s="1" t="s">
        <v>66</v>
      </c>
      <c r="I1387" t="s">
        <v>67</v>
      </c>
      <c r="J1387" t="s">
        <v>271</v>
      </c>
      <c r="K1387" t="s">
        <v>272</v>
      </c>
      <c r="L1387" t="s">
        <v>273</v>
      </c>
    </row>
    <row r="1388" spans="1:12" ht="15">
      <c r="A1388" s="4">
        <v>201404</v>
      </c>
      <c r="B1388" t="s">
        <v>270</v>
      </c>
      <c r="C1388" s="5">
        <v>6539015</v>
      </c>
      <c r="D1388" s="2" t="s">
        <v>882</v>
      </c>
      <c r="E1388" s="2" t="s">
        <v>15</v>
      </c>
      <c r="F1388" s="3">
        <v>0.15</v>
      </c>
      <c r="H1388" s="1" t="s">
        <v>66</v>
      </c>
      <c r="I1388" t="s">
        <v>67</v>
      </c>
      <c r="J1388" t="s">
        <v>271</v>
      </c>
      <c r="K1388" t="s">
        <v>272</v>
      </c>
      <c r="L1388" t="s">
        <v>273</v>
      </c>
    </row>
    <row r="1389" spans="1:12" ht="15">
      <c r="A1389" s="4">
        <v>201403</v>
      </c>
      <c r="B1389" t="s">
        <v>270</v>
      </c>
      <c r="C1389" s="5">
        <v>6539199</v>
      </c>
      <c r="D1389" s="2" t="s">
        <v>883</v>
      </c>
      <c r="E1389" s="2" t="s">
        <v>15</v>
      </c>
      <c r="F1389" s="3">
        <v>10.32</v>
      </c>
      <c r="H1389" s="1" t="s">
        <v>14</v>
      </c>
      <c r="I1389" t="s">
        <v>375</v>
      </c>
      <c r="J1389" t="s">
        <v>271</v>
      </c>
      <c r="K1389" t="s">
        <v>272</v>
      </c>
      <c r="L1389" t="s">
        <v>273</v>
      </c>
    </row>
    <row r="1390" spans="1:12" ht="15">
      <c r="A1390" s="4">
        <v>201403</v>
      </c>
      <c r="B1390" t="s">
        <v>270</v>
      </c>
      <c r="C1390" s="5">
        <v>6539199</v>
      </c>
      <c r="D1390" s="2" t="s">
        <v>883</v>
      </c>
      <c r="E1390" s="2" t="s">
        <v>15</v>
      </c>
      <c r="F1390" s="3">
        <v>15.42</v>
      </c>
      <c r="H1390" s="1" t="s">
        <v>14</v>
      </c>
      <c r="I1390" t="s">
        <v>664</v>
      </c>
      <c r="J1390" t="s">
        <v>271</v>
      </c>
      <c r="K1390" t="s">
        <v>272</v>
      </c>
      <c r="L1390" t="s">
        <v>273</v>
      </c>
    </row>
    <row r="1391" spans="1:12" ht="15">
      <c r="A1391" s="4">
        <v>201403</v>
      </c>
      <c r="B1391" t="s">
        <v>270</v>
      </c>
      <c r="C1391" s="5">
        <v>6539199</v>
      </c>
      <c r="D1391" s="2" t="s">
        <v>883</v>
      </c>
      <c r="E1391" s="2" t="s">
        <v>15</v>
      </c>
      <c r="F1391" s="3">
        <v>23.48</v>
      </c>
      <c r="H1391" s="1" t="s">
        <v>14</v>
      </c>
      <c r="I1391" t="s">
        <v>884</v>
      </c>
      <c r="J1391" t="s">
        <v>271</v>
      </c>
      <c r="K1391" t="s">
        <v>272</v>
      </c>
      <c r="L1391" t="s">
        <v>273</v>
      </c>
    </row>
    <row r="1392" spans="1:12" ht="15">
      <c r="A1392" s="4">
        <v>201403</v>
      </c>
      <c r="B1392" t="s">
        <v>270</v>
      </c>
      <c r="C1392" s="5">
        <v>6539199</v>
      </c>
      <c r="D1392" s="2" t="s">
        <v>883</v>
      </c>
      <c r="E1392" s="2" t="s">
        <v>15</v>
      </c>
      <c r="F1392" s="3">
        <v>47.26</v>
      </c>
      <c r="H1392" s="1" t="s">
        <v>14</v>
      </c>
      <c r="I1392" t="s">
        <v>108</v>
      </c>
      <c r="J1392" t="s">
        <v>271</v>
      </c>
      <c r="K1392" t="s">
        <v>272</v>
      </c>
      <c r="L1392" t="s">
        <v>273</v>
      </c>
    </row>
    <row r="1393" spans="1:12" ht="15">
      <c r="A1393" s="4">
        <v>201403</v>
      </c>
      <c r="B1393" t="s">
        <v>270</v>
      </c>
      <c r="C1393" s="5">
        <v>6539199</v>
      </c>
      <c r="D1393" s="2" t="s">
        <v>883</v>
      </c>
      <c r="E1393" s="2" t="s">
        <v>15</v>
      </c>
      <c r="F1393" s="3">
        <v>57.6</v>
      </c>
      <c r="H1393" s="1" t="s">
        <v>14</v>
      </c>
      <c r="I1393" t="s">
        <v>885</v>
      </c>
      <c r="J1393" t="s">
        <v>271</v>
      </c>
      <c r="K1393" t="s">
        <v>272</v>
      </c>
      <c r="L1393" t="s">
        <v>273</v>
      </c>
    </row>
    <row r="1394" spans="1:12" ht="15">
      <c r="A1394" s="4">
        <v>201403</v>
      </c>
      <c r="B1394" t="s">
        <v>270</v>
      </c>
      <c r="C1394" s="5">
        <v>6539199</v>
      </c>
      <c r="D1394" s="2" t="s">
        <v>883</v>
      </c>
      <c r="E1394" s="2" t="s">
        <v>15</v>
      </c>
      <c r="F1394" s="3">
        <v>75</v>
      </c>
      <c r="H1394" s="1" t="s">
        <v>14</v>
      </c>
      <c r="I1394" t="s">
        <v>886</v>
      </c>
      <c r="J1394" t="s">
        <v>271</v>
      </c>
      <c r="K1394" t="s">
        <v>272</v>
      </c>
      <c r="L1394" t="s">
        <v>273</v>
      </c>
    </row>
    <row r="1395" spans="1:12" ht="15">
      <c r="A1395" s="4">
        <v>201403</v>
      </c>
      <c r="B1395" t="s">
        <v>270</v>
      </c>
      <c r="C1395" s="5">
        <v>6539199</v>
      </c>
      <c r="D1395" s="2" t="s">
        <v>883</v>
      </c>
      <c r="E1395" s="2" t="s">
        <v>15</v>
      </c>
      <c r="F1395" s="3">
        <v>0.64</v>
      </c>
      <c r="H1395" s="1" t="s">
        <v>66</v>
      </c>
      <c r="I1395" t="s">
        <v>67</v>
      </c>
      <c r="J1395" t="s">
        <v>271</v>
      </c>
      <c r="K1395" t="s">
        <v>272</v>
      </c>
      <c r="L1395" t="s">
        <v>273</v>
      </c>
    </row>
    <row r="1396" spans="1:12" ht="15">
      <c r="A1396" s="4">
        <v>201403</v>
      </c>
      <c r="B1396" t="s">
        <v>270</v>
      </c>
      <c r="C1396" s="5">
        <v>6539200</v>
      </c>
      <c r="D1396" s="2" t="s">
        <v>887</v>
      </c>
      <c r="E1396" s="2" t="s">
        <v>15</v>
      </c>
      <c r="F1396" s="3">
        <v>0.64</v>
      </c>
      <c r="H1396" s="1" t="s">
        <v>66</v>
      </c>
      <c r="I1396" t="s">
        <v>67</v>
      </c>
      <c r="J1396" t="s">
        <v>271</v>
      </c>
      <c r="K1396" t="s">
        <v>272</v>
      </c>
      <c r="L1396" t="s">
        <v>273</v>
      </c>
    </row>
    <row r="1397" spans="1:12" ht="15">
      <c r="A1397" s="4">
        <v>201403</v>
      </c>
      <c r="B1397" t="s">
        <v>270</v>
      </c>
      <c r="C1397" s="5">
        <v>6539205</v>
      </c>
      <c r="D1397" s="2" t="s">
        <v>888</v>
      </c>
      <c r="E1397" s="2" t="s">
        <v>15</v>
      </c>
      <c r="F1397" s="3">
        <v>0.11</v>
      </c>
      <c r="H1397" s="1" t="s">
        <v>66</v>
      </c>
      <c r="I1397" t="s">
        <v>67</v>
      </c>
      <c r="J1397" t="s">
        <v>271</v>
      </c>
      <c r="K1397" t="s">
        <v>272</v>
      </c>
      <c r="L1397" t="s">
        <v>273</v>
      </c>
    </row>
    <row r="1398" spans="1:12" ht="15">
      <c r="A1398" s="4">
        <v>201403</v>
      </c>
      <c r="B1398" t="s">
        <v>270</v>
      </c>
      <c r="C1398" s="5">
        <v>6539206</v>
      </c>
      <c r="D1398" s="2" t="s">
        <v>889</v>
      </c>
      <c r="E1398" s="2" t="s">
        <v>15</v>
      </c>
      <c r="F1398" s="3">
        <v>0.11</v>
      </c>
      <c r="H1398" s="1" t="s">
        <v>66</v>
      </c>
      <c r="I1398" t="s">
        <v>67</v>
      </c>
      <c r="J1398" t="s">
        <v>271</v>
      </c>
      <c r="K1398" t="s">
        <v>272</v>
      </c>
      <c r="L1398" t="s">
        <v>273</v>
      </c>
    </row>
    <row r="1399" spans="1:12" ht="15">
      <c r="A1399" s="4">
        <v>201403</v>
      </c>
      <c r="B1399" t="s">
        <v>270</v>
      </c>
      <c r="C1399" s="5">
        <v>6539207</v>
      </c>
      <c r="D1399" s="2" t="s">
        <v>890</v>
      </c>
      <c r="E1399" s="2" t="s">
        <v>15</v>
      </c>
      <c r="F1399" s="3">
        <v>0.05</v>
      </c>
      <c r="H1399" s="1" t="s">
        <v>66</v>
      </c>
      <c r="I1399" t="s">
        <v>67</v>
      </c>
      <c r="J1399" t="s">
        <v>271</v>
      </c>
      <c r="K1399" t="s">
        <v>272</v>
      </c>
      <c r="L1399" t="s">
        <v>273</v>
      </c>
    </row>
    <row r="1400" spans="1:12" ht="15">
      <c r="A1400" s="4">
        <v>201403</v>
      </c>
      <c r="B1400" t="s">
        <v>270</v>
      </c>
      <c r="C1400" s="5">
        <v>6539208</v>
      </c>
      <c r="D1400" s="2" t="s">
        <v>891</v>
      </c>
      <c r="E1400" s="2" t="s">
        <v>15</v>
      </c>
      <c r="F1400" s="3">
        <v>9.27</v>
      </c>
      <c r="H1400" s="1" t="s">
        <v>14</v>
      </c>
      <c r="I1400" t="s">
        <v>505</v>
      </c>
      <c r="J1400" t="s">
        <v>271</v>
      </c>
      <c r="K1400" t="s">
        <v>272</v>
      </c>
      <c r="L1400" t="s">
        <v>273</v>
      </c>
    </row>
    <row r="1401" spans="1:12" ht="15">
      <c r="A1401" s="4">
        <v>201403</v>
      </c>
      <c r="B1401" t="s">
        <v>270</v>
      </c>
      <c r="C1401" s="5">
        <v>6539208</v>
      </c>
      <c r="D1401" s="2" t="s">
        <v>891</v>
      </c>
      <c r="E1401" s="2" t="s">
        <v>15</v>
      </c>
      <c r="F1401" s="3">
        <v>43.89</v>
      </c>
      <c r="H1401" s="1" t="s">
        <v>14</v>
      </c>
      <c r="I1401" t="s">
        <v>90</v>
      </c>
      <c r="J1401" t="s">
        <v>271</v>
      </c>
      <c r="K1401" t="s">
        <v>272</v>
      </c>
      <c r="L1401" t="s">
        <v>273</v>
      </c>
    </row>
    <row r="1402" spans="1:12" ht="15">
      <c r="A1402" s="4">
        <v>201403</v>
      </c>
      <c r="B1402" t="s">
        <v>270</v>
      </c>
      <c r="C1402" s="5">
        <v>6539208</v>
      </c>
      <c r="D1402" s="2" t="s">
        <v>891</v>
      </c>
      <c r="E1402" s="2" t="s">
        <v>15</v>
      </c>
      <c r="F1402" s="3">
        <v>53.17</v>
      </c>
      <c r="H1402" s="1" t="s">
        <v>14</v>
      </c>
      <c r="I1402" t="s">
        <v>89</v>
      </c>
      <c r="J1402" t="s">
        <v>271</v>
      </c>
      <c r="K1402" t="s">
        <v>272</v>
      </c>
      <c r="L1402" t="s">
        <v>273</v>
      </c>
    </row>
    <row r="1403" spans="1:12" ht="15">
      <c r="A1403" s="4">
        <v>201403</v>
      </c>
      <c r="B1403" t="s">
        <v>270</v>
      </c>
      <c r="C1403" s="5">
        <v>6539208</v>
      </c>
      <c r="D1403" s="2" t="s">
        <v>891</v>
      </c>
      <c r="E1403" s="2" t="s">
        <v>15</v>
      </c>
      <c r="F1403" s="3">
        <v>0.05</v>
      </c>
      <c r="H1403" s="1" t="s">
        <v>66</v>
      </c>
      <c r="I1403" t="s">
        <v>67</v>
      </c>
      <c r="J1403" t="s">
        <v>271</v>
      </c>
      <c r="K1403" t="s">
        <v>272</v>
      </c>
      <c r="L1403" t="s">
        <v>273</v>
      </c>
    </row>
    <row r="1404" spans="1:12" ht="15">
      <c r="A1404" s="4">
        <v>201403</v>
      </c>
      <c r="B1404" t="s">
        <v>270</v>
      </c>
      <c r="C1404" s="5">
        <v>6539209</v>
      </c>
      <c r="D1404" s="2" t="s">
        <v>892</v>
      </c>
      <c r="E1404" s="2" t="s">
        <v>15</v>
      </c>
      <c r="F1404" s="3">
        <v>0.05</v>
      </c>
      <c r="H1404" s="1" t="s">
        <v>66</v>
      </c>
      <c r="I1404" t="s">
        <v>67</v>
      </c>
      <c r="J1404" t="s">
        <v>271</v>
      </c>
      <c r="K1404" t="s">
        <v>272</v>
      </c>
      <c r="L1404" t="s">
        <v>273</v>
      </c>
    </row>
    <row r="1405" spans="1:12" ht="15">
      <c r="A1405" s="4">
        <v>201403</v>
      </c>
      <c r="B1405" t="s">
        <v>270</v>
      </c>
      <c r="C1405" s="5">
        <v>6539210</v>
      </c>
      <c r="D1405" s="2" t="s">
        <v>893</v>
      </c>
      <c r="E1405" s="2" t="s">
        <v>15</v>
      </c>
      <c r="F1405" s="3">
        <v>0.05</v>
      </c>
      <c r="H1405" s="1" t="s">
        <v>66</v>
      </c>
      <c r="I1405" t="s">
        <v>67</v>
      </c>
      <c r="J1405" t="s">
        <v>271</v>
      </c>
      <c r="K1405" t="s">
        <v>272</v>
      </c>
      <c r="L1405" t="s">
        <v>273</v>
      </c>
    </row>
    <row r="1406" spans="1:12" ht="15">
      <c r="A1406" s="4">
        <v>201405</v>
      </c>
      <c r="B1406" t="s">
        <v>270</v>
      </c>
      <c r="C1406" s="5">
        <v>6539211</v>
      </c>
      <c r="D1406" s="2" t="s">
        <v>894</v>
      </c>
      <c r="E1406" s="2" t="s">
        <v>15</v>
      </c>
      <c r="F1406" s="3">
        <v>4.42</v>
      </c>
      <c r="H1406" s="1" t="s">
        <v>66</v>
      </c>
      <c r="I1406" t="s">
        <v>67</v>
      </c>
      <c r="J1406" t="s">
        <v>271</v>
      </c>
      <c r="K1406" t="s">
        <v>272</v>
      </c>
      <c r="L1406" t="s">
        <v>273</v>
      </c>
    </row>
    <row r="1407" spans="1:12" ht="15">
      <c r="A1407" s="4">
        <v>201405</v>
      </c>
      <c r="B1407" t="s">
        <v>270</v>
      </c>
      <c r="C1407" s="5">
        <v>6539211</v>
      </c>
      <c r="D1407" s="2" t="s">
        <v>894</v>
      </c>
      <c r="E1407" s="2" t="s">
        <v>15</v>
      </c>
      <c r="F1407" s="3">
        <v>0</v>
      </c>
      <c r="H1407" s="1" t="s">
        <v>68</v>
      </c>
      <c r="J1407" t="s">
        <v>271</v>
      </c>
      <c r="K1407" t="s">
        <v>272</v>
      </c>
      <c r="L1407" t="s">
        <v>273</v>
      </c>
    </row>
    <row r="1408" spans="1:12" ht="15">
      <c r="A1408" s="4">
        <v>201405</v>
      </c>
      <c r="B1408" t="s">
        <v>270</v>
      </c>
      <c r="C1408" s="5">
        <v>6539211</v>
      </c>
      <c r="D1408" s="2" t="s">
        <v>894</v>
      </c>
      <c r="E1408" s="2" t="s">
        <v>15</v>
      </c>
      <c r="F1408" s="3">
        <v>0</v>
      </c>
      <c r="H1408" s="1" t="s">
        <v>68</v>
      </c>
      <c r="J1408" t="s">
        <v>271</v>
      </c>
      <c r="K1408" t="s">
        <v>272</v>
      </c>
      <c r="L1408" t="s">
        <v>273</v>
      </c>
    </row>
    <row r="1409" spans="1:12" ht="15">
      <c r="A1409" s="4">
        <v>201405</v>
      </c>
      <c r="B1409" t="s">
        <v>270</v>
      </c>
      <c r="C1409" s="5">
        <v>6539211</v>
      </c>
      <c r="D1409" s="2" t="s">
        <v>894</v>
      </c>
      <c r="E1409" s="2" t="s">
        <v>15</v>
      </c>
      <c r="F1409" s="3">
        <v>0</v>
      </c>
      <c r="H1409" s="1" t="s">
        <v>68</v>
      </c>
      <c r="J1409" t="s">
        <v>271</v>
      </c>
      <c r="K1409" t="s">
        <v>272</v>
      </c>
      <c r="L1409" t="s">
        <v>273</v>
      </c>
    </row>
    <row r="1410" spans="1:12" ht="15">
      <c r="A1410" s="4">
        <v>201405</v>
      </c>
      <c r="B1410" t="s">
        <v>270</v>
      </c>
      <c r="C1410" s="5">
        <v>6539211</v>
      </c>
      <c r="D1410" s="2" t="s">
        <v>894</v>
      </c>
      <c r="E1410" s="2" t="s">
        <v>15</v>
      </c>
      <c r="F1410" s="3">
        <v>18</v>
      </c>
      <c r="H1410" s="1" t="s">
        <v>68</v>
      </c>
      <c r="J1410" t="s">
        <v>271</v>
      </c>
      <c r="K1410" t="s">
        <v>272</v>
      </c>
      <c r="L1410" t="s">
        <v>273</v>
      </c>
    </row>
    <row r="1411" spans="1:12" ht="15">
      <c r="A1411" s="4">
        <v>201405</v>
      </c>
      <c r="B1411" t="s">
        <v>270</v>
      </c>
      <c r="C1411" s="5">
        <v>6539212</v>
      </c>
      <c r="D1411" s="2" t="s">
        <v>895</v>
      </c>
      <c r="E1411" s="2" t="s">
        <v>15</v>
      </c>
      <c r="F1411" s="3">
        <v>0.2</v>
      </c>
      <c r="H1411" s="1" t="s">
        <v>66</v>
      </c>
      <c r="I1411" t="s">
        <v>67</v>
      </c>
      <c r="J1411" t="s">
        <v>271</v>
      </c>
      <c r="K1411" t="s">
        <v>272</v>
      </c>
      <c r="L1411" t="s">
        <v>273</v>
      </c>
    </row>
    <row r="1412" spans="1:12" ht="15">
      <c r="A1412" s="4">
        <v>201403</v>
      </c>
      <c r="B1412" t="s">
        <v>270</v>
      </c>
      <c r="C1412" s="5">
        <v>6539213</v>
      </c>
      <c r="D1412" s="2" t="s">
        <v>896</v>
      </c>
      <c r="E1412" s="2" t="s">
        <v>15</v>
      </c>
      <c r="F1412" s="3">
        <v>1.15</v>
      </c>
      <c r="H1412" s="1" t="s">
        <v>14</v>
      </c>
      <c r="I1412" t="s">
        <v>16</v>
      </c>
      <c r="J1412" t="s">
        <v>271</v>
      </c>
      <c r="K1412" t="s">
        <v>272</v>
      </c>
      <c r="L1412" t="s">
        <v>273</v>
      </c>
    </row>
    <row r="1413" spans="1:13" ht="15">
      <c r="A1413" s="4">
        <v>201405</v>
      </c>
      <c r="B1413" t="s">
        <v>270</v>
      </c>
      <c r="C1413" s="5">
        <v>6539213</v>
      </c>
      <c r="D1413" s="2" t="s">
        <v>896</v>
      </c>
      <c r="E1413" s="2" t="s">
        <v>15</v>
      </c>
      <c r="F1413" s="3">
        <v>37812.32</v>
      </c>
      <c r="G1413" t="s">
        <v>897</v>
      </c>
      <c r="H1413" s="1" t="s">
        <v>44</v>
      </c>
      <c r="I1413" t="e">
        <f>-FOR Inspect work on TC2 I.D.+F.D. Fans</f>
        <v>#NAME?</v>
      </c>
      <c r="J1413" t="s">
        <v>271</v>
      </c>
      <c r="K1413" t="s">
        <v>272</v>
      </c>
      <c r="L1413" t="s">
        <v>273</v>
      </c>
      <c r="M1413">
        <v>898930</v>
      </c>
    </row>
    <row r="1414" spans="1:12" ht="15">
      <c r="A1414" s="4">
        <v>201402</v>
      </c>
      <c r="B1414" t="s">
        <v>270</v>
      </c>
      <c r="C1414" s="5">
        <v>6539213</v>
      </c>
      <c r="D1414" s="2" t="s">
        <v>896</v>
      </c>
      <c r="E1414" s="2" t="s">
        <v>15</v>
      </c>
      <c r="F1414" s="3">
        <v>6.06</v>
      </c>
      <c r="H1414" s="1" t="s">
        <v>66</v>
      </c>
      <c r="I1414" t="s">
        <v>67</v>
      </c>
      <c r="J1414" t="s">
        <v>271</v>
      </c>
      <c r="K1414" t="s">
        <v>272</v>
      </c>
      <c r="L1414" t="s">
        <v>273</v>
      </c>
    </row>
    <row r="1415" spans="1:12" ht="15">
      <c r="A1415" s="4">
        <v>201403</v>
      </c>
      <c r="B1415" t="s">
        <v>270</v>
      </c>
      <c r="C1415" s="5">
        <v>6539214</v>
      </c>
      <c r="D1415" s="2" t="s">
        <v>898</v>
      </c>
      <c r="E1415" s="2" t="s">
        <v>15</v>
      </c>
      <c r="F1415" s="3">
        <v>31</v>
      </c>
      <c r="H1415" s="1" t="s">
        <v>14</v>
      </c>
      <c r="I1415" t="s">
        <v>36</v>
      </c>
      <c r="J1415" t="s">
        <v>271</v>
      </c>
      <c r="K1415" t="s">
        <v>272</v>
      </c>
      <c r="L1415" t="s">
        <v>273</v>
      </c>
    </row>
    <row r="1416" spans="1:12" ht="15">
      <c r="A1416" s="4">
        <v>201404</v>
      </c>
      <c r="B1416" t="s">
        <v>270</v>
      </c>
      <c r="C1416" s="5">
        <v>6539214</v>
      </c>
      <c r="D1416" s="2" t="s">
        <v>898</v>
      </c>
      <c r="E1416" s="2" t="s">
        <v>15</v>
      </c>
      <c r="F1416" s="3">
        <v>8.78</v>
      </c>
      <c r="H1416" s="1" t="s">
        <v>14</v>
      </c>
      <c r="I1416" t="s">
        <v>899</v>
      </c>
      <c r="J1416" t="s">
        <v>271</v>
      </c>
      <c r="K1416" t="s">
        <v>272</v>
      </c>
      <c r="L1416" t="s">
        <v>273</v>
      </c>
    </row>
    <row r="1417" spans="1:13" ht="15">
      <c r="A1417" s="4">
        <v>201403</v>
      </c>
      <c r="B1417" t="s">
        <v>270</v>
      </c>
      <c r="C1417" s="5">
        <v>6539214</v>
      </c>
      <c r="D1417" s="2" t="s">
        <v>898</v>
      </c>
      <c r="E1417" s="2" t="s">
        <v>15</v>
      </c>
      <c r="F1417" s="3">
        <v>80.43</v>
      </c>
      <c r="G1417" t="s">
        <v>119</v>
      </c>
      <c r="H1417" s="1" t="s">
        <v>46</v>
      </c>
      <c r="I1417" t="s">
        <v>134</v>
      </c>
      <c r="J1417" t="s">
        <v>271</v>
      </c>
      <c r="K1417" t="s">
        <v>272</v>
      </c>
      <c r="L1417" t="s">
        <v>273</v>
      </c>
      <c r="M1417">
        <v>901543</v>
      </c>
    </row>
    <row r="1418" spans="1:13" ht="15">
      <c r="A1418" s="4">
        <v>201404</v>
      </c>
      <c r="B1418" t="s">
        <v>270</v>
      </c>
      <c r="C1418" s="5">
        <v>6539214</v>
      </c>
      <c r="D1418" s="2" t="s">
        <v>898</v>
      </c>
      <c r="E1418" s="2" t="s">
        <v>15</v>
      </c>
      <c r="F1418" s="3">
        <v>81.24</v>
      </c>
      <c r="G1418" t="s">
        <v>119</v>
      </c>
      <c r="H1418" s="1" t="s">
        <v>46</v>
      </c>
      <c r="I1418" t="s">
        <v>622</v>
      </c>
      <c r="J1418" t="s">
        <v>271</v>
      </c>
      <c r="K1418" t="s">
        <v>272</v>
      </c>
      <c r="L1418" t="s">
        <v>273</v>
      </c>
      <c r="M1418">
        <v>903807</v>
      </c>
    </row>
    <row r="1419" spans="1:12" ht="15">
      <c r="A1419" s="4">
        <v>201402</v>
      </c>
      <c r="B1419" t="s">
        <v>270</v>
      </c>
      <c r="C1419" s="5">
        <v>6539214</v>
      </c>
      <c r="D1419" s="2" t="s">
        <v>898</v>
      </c>
      <c r="E1419" s="2" t="s">
        <v>15</v>
      </c>
      <c r="F1419" s="3">
        <v>5.47</v>
      </c>
      <c r="H1419" s="1" t="s">
        <v>66</v>
      </c>
      <c r="I1419" t="s">
        <v>67</v>
      </c>
      <c r="J1419" t="s">
        <v>271</v>
      </c>
      <c r="K1419" t="s">
        <v>272</v>
      </c>
      <c r="L1419" t="s">
        <v>273</v>
      </c>
    </row>
    <row r="1420" spans="1:12" ht="15">
      <c r="A1420" s="4">
        <v>201403</v>
      </c>
      <c r="B1420" t="s">
        <v>270</v>
      </c>
      <c r="C1420" s="5">
        <v>6539214</v>
      </c>
      <c r="D1420" s="2" t="s">
        <v>898</v>
      </c>
      <c r="E1420" s="2" t="s">
        <v>15</v>
      </c>
      <c r="F1420" s="3">
        <v>3.27</v>
      </c>
      <c r="H1420" s="1" t="s">
        <v>66</v>
      </c>
      <c r="I1420" t="s">
        <v>67</v>
      </c>
      <c r="J1420" t="s">
        <v>271</v>
      </c>
      <c r="K1420" t="s">
        <v>272</v>
      </c>
      <c r="L1420" t="s">
        <v>273</v>
      </c>
    </row>
    <row r="1421" spans="1:12" ht="15">
      <c r="A1421" s="4">
        <v>201402</v>
      </c>
      <c r="B1421" t="s">
        <v>270</v>
      </c>
      <c r="C1421" s="5">
        <v>6539215</v>
      </c>
      <c r="D1421" s="2" t="s">
        <v>900</v>
      </c>
      <c r="E1421" s="2" t="s">
        <v>15</v>
      </c>
      <c r="F1421" s="3">
        <v>5.77</v>
      </c>
      <c r="H1421" s="1" t="s">
        <v>66</v>
      </c>
      <c r="I1421" t="s">
        <v>67</v>
      </c>
      <c r="J1421" t="s">
        <v>271</v>
      </c>
      <c r="K1421" t="s">
        <v>272</v>
      </c>
      <c r="L1421" t="s">
        <v>273</v>
      </c>
    </row>
    <row r="1422" spans="1:12" ht="15">
      <c r="A1422" s="4">
        <v>201402</v>
      </c>
      <c r="B1422" t="s">
        <v>270</v>
      </c>
      <c r="C1422" s="5">
        <v>6539216</v>
      </c>
      <c r="D1422" s="2" t="s">
        <v>902</v>
      </c>
      <c r="E1422" s="2" t="s">
        <v>15</v>
      </c>
      <c r="F1422" s="3">
        <v>518.4</v>
      </c>
      <c r="H1422" s="1" t="s">
        <v>14</v>
      </c>
      <c r="I1422" t="s">
        <v>901</v>
      </c>
      <c r="J1422" t="s">
        <v>271</v>
      </c>
      <c r="K1422" t="s">
        <v>272</v>
      </c>
      <c r="L1422" t="s">
        <v>273</v>
      </c>
    </row>
    <row r="1423" spans="1:12" ht="15">
      <c r="A1423" s="4">
        <v>201402</v>
      </c>
      <c r="B1423" t="s">
        <v>270</v>
      </c>
      <c r="C1423" s="5">
        <v>6539216</v>
      </c>
      <c r="D1423" s="2" t="s">
        <v>902</v>
      </c>
      <c r="E1423" s="2" t="s">
        <v>15</v>
      </c>
      <c r="F1423" s="3">
        <v>1.04</v>
      </c>
      <c r="H1423" s="1" t="s">
        <v>66</v>
      </c>
      <c r="I1423" t="s">
        <v>67</v>
      </c>
      <c r="J1423" t="s">
        <v>271</v>
      </c>
      <c r="K1423" t="s">
        <v>272</v>
      </c>
      <c r="L1423" t="s">
        <v>273</v>
      </c>
    </row>
    <row r="1424" spans="1:12" ht="15">
      <c r="A1424" s="4">
        <v>201403</v>
      </c>
      <c r="B1424" t="s">
        <v>270</v>
      </c>
      <c r="C1424" s="5">
        <v>6539216</v>
      </c>
      <c r="D1424" s="2" t="s">
        <v>902</v>
      </c>
      <c r="E1424" s="2" t="s">
        <v>15</v>
      </c>
      <c r="F1424" s="3">
        <v>0</v>
      </c>
      <c r="H1424" s="1" t="s">
        <v>66</v>
      </c>
      <c r="I1424" t="s">
        <v>67</v>
      </c>
      <c r="J1424" t="s">
        <v>271</v>
      </c>
      <c r="K1424" t="s">
        <v>272</v>
      </c>
      <c r="L1424" t="s">
        <v>273</v>
      </c>
    </row>
    <row r="1425" spans="1:12" ht="15">
      <c r="A1425" s="4">
        <v>201403</v>
      </c>
      <c r="B1425" t="s">
        <v>270</v>
      </c>
      <c r="C1425" s="5">
        <v>6539217</v>
      </c>
      <c r="D1425" s="2" t="s">
        <v>903</v>
      </c>
      <c r="E1425" s="2" t="s">
        <v>15</v>
      </c>
      <c r="F1425" s="3">
        <v>0.75</v>
      </c>
      <c r="H1425" s="1" t="s">
        <v>66</v>
      </c>
      <c r="I1425" t="s">
        <v>67</v>
      </c>
      <c r="J1425" t="s">
        <v>271</v>
      </c>
      <c r="K1425" t="s">
        <v>272</v>
      </c>
      <c r="L1425" t="s">
        <v>273</v>
      </c>
    </row>
    <row r="1426" spans="1:12" ht="15">
      <c r="A1426" s="4">
        <v>201402</v>
      </c>
      <c r="B1426" t="s">
        <v>270</v>
      </c>
      <c r="C1426" s="5">
        <v>6539218</v>
      </c>
      <c r="D1426" s="2" t="s">
        <v>904</v>
      </c>
      <c r="E1426" s="2" t="s">
        <v>15</v>
      </c>
      <c r="F1426" s="3">
        <v>2.49</v>
      </c>
      <c r="H1426" s="1" t="s">
        <v>14</v>
      </c>
      <c r="I1426" t="s">
        <v>23</v>
      </c>
      <c r="J1426" t="s">
        <v>271</v>
      </c>
      <c r="K1426" t="s">
        <v>272</v>
      </c>
      <c r="L1426" t="s">
        <v>273</v>
      </c>
    </row>
    <row r="1427" spans="1:12" ht="15">
      <c r="A1427" s="4">
        <v>201402</v>
      </c>
      <c r="B1427" t="s">
        <v>270</v>
      </c>
      <c r="C1427" s="5">
        <v>6539218</v>
      </c>
      <c r="D1427" s="2" t="s">
        <v>904</v>
      </c>
      <c r="E1427" s="2" t="s">
        <v>15</v>
      </c>
      <c r="F1427" s="3">
        <v>3.44</v>
      </c>
      <c r="H1427" s="1" t="s">
        <v>14</v>
      </c>
      <c r="I1427" t="s">
        <v>19</v>
      </c>
      <c r="J1427" t="s">
        <v>271</v>
      </c>
      <c r="K1427" t="s">
        <v>272</v>
      </c>
      <c r="L1427" t="s">
        <v>273</v>
      </c>
    </row>
    <row r="1428" spans="1:12" ht="15">
      <c r="A1428" s="4">
        <v>201402</v>
      </c>
      <c r="B1428" t="s">
        <v>270</v>
      </c>
      <c r="C1428" s="5">
        <v>6539218</v>
      </c>
      <c r="D1428" s="2" t="s">
        <v>904</v>
      </c>
      <c r="E1428" s="2" t="s">
        <v>15</v>
      </c>
      <c r="F1428" s="3">
        <v>13.29</v>
      </c>
      <c r="H1428" s="1" t="s">
        <v>14</v>
      </c>
      <c r="I1428" t="s">
        <v>89</v>
      </c>
      <c r="J1428" t="s">
        <v>271</v>
      </c>
      <c r="K1428" t="s">
        <v>272</v>
      </c>
      <c r="L1428" t="s">
        <v>273</v>
      </c>
    </row>
    <row r="1429" spans="1:12" ht="15">
      <c r="A1429" s="4">
        <v>201402</v>
      </c>
      <c r="B1429" t="s">
        <v>270</v>
      </c>
      <c r="C1429" s="5">
        <v>6539218</v>
      </c>
      <c r="D1429" s="2" t="s">
        <v>904</v>
      </c>
      <c r="E1429" s="2" t="s">
        <v>15</v>
      </c>
      <c r="F1429" s="3">
        <v>87.5</v>
      </c>
      <c r="H1429" s="1" t="s">
        <v>14</v>
      </c>
      <c r="I1429" t="s">
        <v>441</v>
      </c>
      <c r="J1429" t="s">
        <v>271</v>
      </c>
      <c r="K1429" t="s">
        <v>272</v>
      </c>
      <c r="L1429" t="s">
        <v>273</v>
      </c>
    </row>
    <row r="1430" spans="1:12" ht="15">
      <c r="A1430" s="4">
        <v>201402</v>
      </c>
      <c r="B1430" t="s">
        <v>270</v>
      </c>
      <c r="C1430" s="5">
        <v>6539218</v>
      </c>
      <c r="D1430" s="2" t="s">
        <v>904</v>
      </c>
      <c r="E1430" s="2" t="s">
        <v>15</v>
      </c>
      <c r="F1430" s="3">
        <v>0.3</v>
      </c>
      <c r="H1430" s="1" t="s">
        <v>66</v>
      </c>
      <c r="I1430" t="s">
        <v>67</v>
      </c>
      <c r="J1430" t="s">
        <v>271</v>
      </c>
      <c r="K1430" t="s">
        <v>272</v>
      </c>
      <c r="L1430" t="s">
        <v>273</v>
      </c>
    </row>
    <row r="1431" spans="1:12" ht="15">
      <c r="A1431" s="4">
        <v>201405</v>
      </c>
      <c r="B1431" t="s">
        <v>270</v>
      </c>
      <c r="C1431" s="5">
        <v>6539222</v>
      </c>
      <c r="D1431" s="2" t="s">
        <v>905</v>
      </c>
      <c r="E1431" s="2" t="s">
        <v>15</v>
      </c>
      <c r="F1431" s="3">
        <v>0.2</v>
      </c>
      <c r="H1431" s="1" t="s">
        <v>66</v>
      </c>
      <c r="I1431" t="s">
        <v>67</v>
      </c>
      <c r="J1431" t="s">
        <v>271</v>
      </c>
      <c r="K1431" t="s">
        <v>272</v>
      </c>
      <c r="L1431" t="s">
        <v>273</v>
      </c>
    </row>
    <row r="1432" spans="1:12" ht="15">
      <c r="A1432" s="4">
        <v>201405</v>
      </c>
      <c r="B1432" t="s">
        <v>270</v>
      </c>
      <c r="C1432" s="5">
        <v>6539223</v>
      </c>
      <c r="D1432" s="2" t="s">
        <v>906</v>
      </c>
      <c r="E1432" s="2" t="s">
        <v>15</v>
      </c>
      <c r="F1432" s="3">
        <v>0.2</v>
      </c>
      <c r="H1432" s="1" t="s">
        <v>66</v>
      </c>
      <c r="I1432" t="s">
        <v>67</v>
      </c>
      <c r="J1432" t="s">
        <v>271</v>
      </c>
      <c r="K1432" t="s">
        <v>272</v>
      </c>
      <c r="L1432" t="s">
        <v>273</v>
      </c>
    </row>
    <row r="1433" spans="1:12" ht="15">
      <c r="A1433" s="4">
        <v>201404</v>
      </c>
      <c r="B1433" t="s">
        <v>270</v>
      </c>
      <c r="C1433" s="5">
        <v>6539224</v>
      </c>
      <c r="D1433" s="2" t="s">
        <v>907</v>
      </c>
      <c r="E1433" s="2" t="s">
        <v>15</v>
      </c>
      <c r="F1433" s="3">
        <v>3.2</v>
      </c>
      <c r="H1433" s="1" t="s">
        <v>66</v>
      </c>
      <c r="I1433" t="s">
        <v>67</v>
      </c>
      <c r="J1433" t="s">
        <v>271</v>
      </c>
      <c r="K1433" t="s">
        <v>272</v>
      </c>
      <c r="L1433" t="s">
        <v>273</v>
      </c>
    </row>
    <row r="1434" spans="1:12" ht="15">
      <c r="A1434" s="4">
        <v>201405</v>
      </c>
      <c r="B1434" t="s">
        <v>270</v>
      </c>
      <c r="C1434" s="5">
        <v>6539224</v>
      </c>
      <c r="D1434" s="2" t="s">
        <v>907</v>
      </c>
      <c r="E1434" s="2" t="s">
        <v>15</v>
      </c>
      <c r="F1434" s="3">
        <v>0.45</v>
      </c>
      <c r="H1434" s="1" t="s">
        <v>66</v>
      </c>
      <c r="I1434" t="s">
        <v>67</v>
      </c>
      <c r="J1434" t="s">
        <v>271</v>
      </c>
      <c r="K1434" t="s">
        <v>272</v>
      </c>
      <c r="L1434" t="s">
        <v>273</v>
      </c>
    </row>
    <row r="1435" spans="1:12" ht="15">
      <c r="A1435" s="4">
        <v>201405</v>
      </c>
      <c r="B1435" t="s">
        <v>270</v>
      </c>
      <c r="C1435" s="5">
        <v>6539224</v>
      </c>
      <c r="D1435" s="2" t="s">
        <v>907</v>
      </c>
      <c r="E1435" s="2" t="s">
        <v>15</v>
      </c>
      <c r="F1435" s="3">
        <v>0</v>
      </c>
      <c r="H1435" s="1" t="s">
        <v>68</v>
      </c>
      <c r="J1435" t="s">
        <v>271</v>
      </c>
      <c r="K1435" t="s">
        <v>272</v>
      </c>
      <c r="L1435" t="s">
        <v>273</v>
      </c>
    </row>
    <row r="1436" spans="1:12" ht="15">
      <c r="A1436" s="4">
        <v>201405</v>
      </c>
      <c r="B1436" t="s">
        <v>270</v>
      </c>
      <c r="C1436" s="5">
        <v>6539224</v>
      </c>
      <c r="D1436" s="2" t="s">
        <v>907</v>
      </c>
      <c r="E1436" s="2" t="s">
        <v>15</v>
      </c>
      <c r="F1436" s="3">
        <v>6</v>
      </c>
      <c r="H1436" s="1" t="s">
        <v>68</v>
      </c>
      <c r="J1436" t="s">
        <v>271</v>
      </c>
      <c r="K1436" t="s">
        <v>272</v>
      </c>
      <c r="L1436" t="s">
        <v>273</v>
      </c>
    </row>
    <row r="1437" spans="1:12" ht="15">
      <c r="A1437" s="4">
        <v>201404</v>
      </c>
      <c r="B1437" t="s">
        <v>270</v>
      </c>
      <c r="C1437" s="5">
        <v>6539225</v>
      </c>
      <c r="D1437" s="2" t="s">
        <v>908</v>
      </c>
      <c r="E1437" s="2" t="s">
        <v>15</v>
      </c>
      <c r="F1437" s="3">
        <v>2.21</v>
      </c>
      <c r="H1437" s="1" t="s">
        <v>66</v>
      </c>
      <c r="I1437" t="s">
        <v>67</v>
      </c>
      <c r="J1437" t="s">
        <v>271</v>
      </c>
      <c r="K1437" t="s">
        <v>272</v>
      </c>
      <c r="L1437" t="s">
        <v>273</v>
      </c>
    </row>
    <row r="1438" spans="1:12" ht="15">
      <c r="A1438" s="4">
        <v>201405</v>
      </c>
      <c r="B1438" t="s">
        <v>270</v>
      </c>
      <c r="C1438" s="5">
        <v>6539225</v>
      </c>
      <c r="D1438" s="2" t="s">
        <v>908</v>
      </c>
      <c r="E1438" s="2" t="s">
        <v>15</v>
      </c>
      <c r="F1438" s="3">
        <v>0.2</v>
      </c>
      <c r="H1438" s="1" t="s">
        <v>66</v>
      </c>
      <c r="I1438" t="s">
        <v>67</v>
      </c>
      <c r="J1438" t="s">
        <v>271</v>
      </c>
      <c r="K1438" t="s">
        <v>272</v>
      </c>
      <c r="L1438" t="s">
        <v>273</v>
      </c>
    </row>
    <row r="1439" spans="1:12" ht="15">
      <c r="A1439" s="4">
        <v>201404</v>
      </c>
      <c r="B1439" t="s">
        <v>270</v>
      </c>
      <c r="C1439" s="5">
        <v>6539225</v>
      </c>
      <c r="D1439" s="2" t="s">
        <v>908</v>
      </c>
      <c r="E1439" s="2" t="s">
        <v>15</v>
      </c>
      <c r="F1439" s="3">
        <v>0</v>
      </c>
      <c r="H1439" s="1" t="s">
        <v>68</v>
      </c>
      <c r="J1439" t="s">
        <v>271</v>
      </c>
      <c r="K1439" t="s">
        <v>272</v>
      </c>
      <c r="L1439" t="s">
        <v>273</v>
      </c>
    </row>
    <row r="1440" spans="1:12" ht="15">
      <c r="A1440" s="4">
        <v>201404</v>
      </c>
      <c r="B1440" t="s">
        <v>270</v>
      </c>
      <c r="C1440" s="5">
        <v>6539225</v>
      </c>
      <c r="D1440" s="2" t="s">
        <v>908</v>
      </c>
      <c r="E1440" s="2" t="s">
        <v>15</v>
      </c>
      <c r="F1440" s="3">
        <v>0</v>
      </c>
      <c r="H1440" s="1" t="s">
        <v>68</v>
      </c>
      <c r="J1440" t="s">
        <v>271</v>
      </c>
      <c r="K1440" t="s">
        <v>272</v>
      </c>
      <c r="L1440" t="s">
        <v>273</v>
      </c>
    </row>
    <row r="1441" spans="1:12" ht="15">
      <c r="A1441" s="4">
        <v>201404</v>
      </c>
      <c r="B1441" t="s">
        <v>270</v>
      </c>
      <c r="C1441" s="5">
        <v>6539225</v>
      </c>
      <c r="D1441" s="2" t="s">
        <v>908</v>
      </c>
      <c r="E1441" s="2" t="s">
        <v>15</v>
      </c>
      <c r="F1441" s="3">
        <v>12</v>
      </c>
      <c r="H1441" s="1" t="s">
        <v>68</v>
      </c>
      <c r="J1441" t="s">
        <v>271</v>
      </c>
      <c r="K1441" t="s">
        <v>272</v>
      </c>
      <c r="L1441" t="s">
        <v>273</v>
      </c>
    </row>
    <row r="1442" spans="1:12" ht="15">
      <c r="A1442" s="4">
        <v>201405</v>
      </c>
      <c r="B1442" t="s">
        <v>270</v>
      </c>
      <c r="C1442" s="5">
        <v>6539226</v>
      </c>
      <c r="D1442" s="2" t="s">
        <v>909</v>
      </c>
      <c r="E1442" s="2" t="s">
        <v>15</v>
      </c>
      <c r="F1442" s="3">
        <v>0.2</v>
      </c>
      <c r="H1442" s="1" t="s">
        <v>66</v>
      </c>
      <c r="I1442" t="s">
        <v>67</v>
      </c>
      <c r="J1442" t="s">
        <v>271</v>
      </c>
      <c r="K1442" t="s">
        <v>272</v>
      </c>
      <c r="L1442" t="s">
        <v>273</v>
      </c>
    </row>
    <row r="1443" spans="1:12" ht="15">
      <c r="A1443" s="4">
        <v>201404</v>
      </c>
      <c r="B1443" t="s">
        <v>270</v>
      </c>
      <c r="C1443" s="5">
        <v>6539227</v>
      </c>
      <c r="D1443" s="2" t="s">
        <v>911</v>
      </c>
      <c r="E1443" s="2" t="s">
        <v>15</v>
      </c>
      <c r="F1443" s="3">
        <v>24.95</v>
      </c>
      <c r="H1443" s="1" t="s">
        <v>14</v>
      </c>
      <c r="I1443" t="s">
        <v>910</v>
      </c>
      <c r="J1443" t="s">
        <v>271</v>
      </c>
      <c r="K1443" t="s">
        <v>272</v>
      </c>
      <c r="L1443" t="s">
        <v>273</v>
      </c>
    </row>
    <row r="1444" spans="1:12" ht="15">
      <c r="A1444" s="4">
        <v>201404</v>
      </c>
      <c r="B1444" t="s">
        <v>270</v>
      </c>
      <c r="C1444" s="5">
        <v>6539227</v>
      </c>
      <c r="D1444" s="2" t="s">
        <v>911</v>
      </c>
      <c r="E1444" s="2" t="s">
        <v>15</v>
      </c>
      <c r="F1444" s="3">
        <v>0.61</v>
      </c>
      <c r="H1444" s="1" t="s">
        <v>66</v>
      </c>
      <c r="I1444" t="s">
        <v>67</v>
      </c>
      <c r="J1444" t="s">
        <v>271</v>
      </c>
      <c r="K1444" t="s">
        <v>272</v>
      </c>
      <c r="L1444" t="s">
        <v>273</v>
      </c>
    </row>
    <row r="1445" spans="1:12" ht="15">
      <c r="A1445" s="4">
        <v>201402</v>
      </c>
      <c r="B1445" t="s">
        <v>270</v>
      </c>
      <c r="C1445" s="5">
        <v>6539228</v>
      </c>
      <c r="D1445" s="2" t="s">
        <v>912</v>
      </c>
      <c r="E1445" s="2" t="s">
        <v>15</v>
      </c>
      <c r="F1445" s="3">
        <v>1.11</v>
      </c>
      <c r="H1445" s="1" t="s">
        <v>66</v>
      </c>
      <c r="I1445" t="s">
        <v>67</v>
      </c>
      <c r="J1445" t="s">
        <v>271</v>
      </c>
      <c r="K1445" t="s">
        <v>272</v>
      </c>
      <c r="L1445" t="s">
        <v>273</v>
      </c>
    </row>
    <row r="1446" spans="1:12" ht="15">
      <c r="A1446" s="4">
        <v>201405</v>
      </c>
      <c r="B1446" t="s">
        <v>270</v>
      </c>
      <c r="C1446" s="5">
        <v>6539228</v>
      </c>
      <c r="D1446" s="2" t="s">
        <v>912</v>
      </c>
      <c r="E1446" s="2" t="s">
        <v>15</v>
      </c>
      <c r="F1446" s="3">
        <v>1.69</v>
      </c>
      <c r="H1446" s="1" t="s">
        <v>66</v>
      </c>
      <c r="I1446" t="s">
        <v>67</v>
      </c>
      <c r="J1446" t="s">
        <v>271</v>
      </c>
      <c r="K1446" t="s">
        <v>272</v>
      </c>
      <c r="L1446" t="s">
        <v>273</v>
      </c>
    </row>
    <row r="1447" spans="1:12" ht="15">
      <c r="A1447" s="4">
        <v>201403</v>
      </c>
      <c r="B1447" t="s">
        <v>270</v>
      </c>
      <c r="C1447" s="5">
        <v>6539229</v>
      </c>
      <c r="D1447" s="2" t="s">
        <v>914</v>
      </c>
      <c r="E1447" s="2" t="s">
        <v>15</v>
      </c>
      <c r="F1447" s="3">
        <v>3260</v>
      </c>
      <c r="H1447" s="1" t="s">
        <v>44</v>
      </c>
      <c r="I1447" t="s">
        <v>913</v>
      </c>
      <c r="J1447" t="s">
        <v>271</v>
      </c>
      <c r="K1447" t="s">
        <v>272</v>
      </c>
      <c r="L1447" t="s">
        <v>273</v>
      </c>
    </row>
    <row r="1448" spans="1:12" ht="15">
      <c r="A1448" s="4">
        <v>201404</v>
      </c>
      <c r="B1448" t="s">
        <v>270</v>
      </c>
      <c r="C1448" s="5">
        <v>6539229</v>
      </c>
      <c r="D1448" s="2" t="s">
        <v>914</v>
      </c>
      <c r="E1448" s="2" t="s">
        <v>15</v>
      </c>
      <c r="F1448" s="3">
        <v>-3260</v>
      </c>
      <c r="H1448" s="1" t="s">
        <v>44</v>
      </c>
      <c r="I1448" t="s">
        <v>913</v>
      </c>
      <c r="J1448" t="s">
        <v>271</v>
      </c>
      <c r="K1448" t="s">
        <v>272</v>
      </c>
      <c r="L1448" t="s">
        <v>273</v>
      </c>
    </row>
    <row r="1449" spans="1:13" ht="15">
      <c r="A1449" s="4">
        <v>201404</v>
      </c>
      <c r="B1449" t="s">
        <v>270</v>
      </c>
      <c r="C1449" s="5">
        <v>6539229</v>
      </c>
      <c r="D1449" s="2" t="s">
        <v>914</v>
      </c>
      <c r="E1449" s="2" t="s">
        <v>15</v>
      </c>
      <c r="F1449" s="3">
        <v>3260</v>
      </c>
      <c r="G1449" t="s">
        <v>915</v>
      </c>
      <c r="H1449" s="1" t="s">
        <v>44</v>
      </c>
      <c r="I1449" t="e">
        <f>-labor-Certified Laser Scan Fan Blades</f>
        <v>#NAME?</v>
      </c>
      <c r="J1449" t="s">
        <v>271</v>
      </c>
      <c r="K1449" t="s">
        <v>272</v>
      </c>
      <c r="L1449" t="s">
        <v>273</v>
      </c>
      <c r="M1449">
        <v>900943</v>
      </c>
    </row>
    <row r="1450" spans="1:12" ht="15">
      <c r="A1450" s="4">
        <v>201403</v>
      </c>
      <c r="B1450" t="s">
        <v>270</v>
      </c>
      <c r="C1450" s="5">
        <v>6539229</v>
      </c>
      <c r="D1450" s="2" t="s">
        <v>914</v>
      </c>
      <c r="E1450" s="2" t="s">
        <v>15</v>
      </c>
      <c r="F1450" s="3">
        <v>8.32</v>
      </c>
      <c r="H1450" s="1" t="s">
        <v>66</v>
      </c>
      <c r="I1450" t="s">
        <v>67</v>
      </c>
      <c r="J1450" t="s">
        <v>271</v>
      </c>
      <c r="K1450" t="s">
        <v>272</v>
      </c>
      <c r="L1450" t="s">
        <v>273</v>
      </c>
    </row>
    <row r="1451" spans="1:12" ht="15">
      <c r="A1451" s="4">
        <v>201404</v>
      </c>
      <c r="B1451" t="s">
        <v>270</v>
      </c>
      <c r="C1451" s="5">
        <v>6539229</v>
      </c>
      <c r="D1451" s="2" t="s">
        <v>914</v>
      </c>
      <c r="E1451" s="2" t="s">
        <v>15</v>
      </c>
      <c r="F1451" s="3">
        <v>151.38</v>
      </c>
      <c r="G1451" t="s">
        <v>83</v>
      </c>
      <c r="H1451" s="1" t="s">
        <v>69</v>
      </c>
      <c r="I1451" t="e">
        <f>-freight FOR ID Fan blade at Trimble</f>
        <v>#NAME?</v>
      </c>
      <c r="J1451" t="s">
        <v>271</v>
      </c>
      <c r="K1451" t="s">
        <v>272</v>
      </c>
      <c r="L1451" t="s">
        <v>273</v>
      </c>
    </row>
    <row r="1452" spans="1:12" ht="15">
      <c r="A1452" s="4">
        <v>201404</v>
      </c>
      <c r="B1452" t="s">
        <v>270</v>
      </c>
      <c r="C1452" s="5">
        <v>6539229</v>
      </c>
      <c r="D1452" s="2" t="s">
        <v>914</v>
      </c>
      <c r="E1452" s="2" t="s">
        <v>15</v>
      </c>
      <c r="F1452" s="3">
        <v>425.81</v>
      </c>
      <c r="G1452" t="s">
        <v>83</v>
      </c>
      <c r="H1452" s="1" t="s">
        <v>69</v>
      </c>
      <c r="I1452" t="e">
        <f>-freight FOR FD Fans at Trimble</f>
        <v>#NAME?</v>
      </c>
      <c r="J1452" t="s">
        <v>271</v>
      </c>
      <c r="K1452" t="s">
        <v>272</v>
      </c>
      <c r="L1452" t="s">
        <v>273</v>
      </c>
    </row>
    <row r="1453" spans="1:12" ht="15">
      <c r="A1453" s="4">
        <v>201404</v>
      </c>
      <c r="B1453" t="s">
        <v>270</v>
      </c>
      <c r="C1453" s="5">
        <v>6539229</v>
      </c>
      <c r="D1453" s="2" t="s">
        <v>914</v>
      </c>
      <c r="E1453" s="2" t="s">
        <v>15</v>
      </c>
      <c r="F1453" s="3">
        <v>455.75</v>
      </c>
      <c r="G1453" t="s">
        <v>83</v>
      </c>
      <c r="H1453" s="1" t="s">
        <v>69</v>
      </c>
      <c r="I1453" t="e">
        <f>-freight FOR Fan Blades at Trimble</f>
        <v>#NAME?</v>
      </c>
      <c r="J1453" t="s">
        <v>271</v>
      </c>
      <c r="K1453" t="s">
        <v>272</v>
      </c>
      <c r="L1453" t="s">
        <v>273</v>
      </c>
    </row>
    <row r="1454" spans="1:12" ht="15">
      <c r="A1454" s="4">
        <v>201402</v>
      </c>
      <c r="B1454" t="s">
        <v>270</v>
      </c>
      <c r="C1454" s="5">
        <v>6539230</v>
      </c>
      <c r="D1454" s="2" t="s">
        <v>917</v>
      </c>
      <c r="E1454" s="2" t="s">
        <v>15</v>
      </c>
      <c r="F1454" s="3">
        <v>16.76</v>
      </c>
      <c r="H1454" s="1" t="s">
        <v>14</v>
      </c>
      <c r="I1454" t="s">
        <v>916</v>
      </c>
      <c r="J1454" t="s">
        <v>271</v>
      </c>
      <c r="K1454" t="s">
        <v>272</v>
      </c>
      <c r="L1454" t="s">
        <v>273</v>
      </c>
    </row>
    <row r="1455" spans="1:12" ht="15">
      <c r="A1455" s="4">
        <v>201402</v>
      </c>
      <c r="B1455" t="s">
        <v>270</v>
      </c>
      <c r="C1455" s="5">
        <v>6539230</v>
      </c>
      <c r="D1455" s="2" t="s">
        <v>917</v>
      </c>
      <c r="E1455" s="2" t="s">
        <v>15</v>
      </c>
      <c r="F1455" s="3">
        <v>0.81</v>
      </c>
      <c r="H1455" s="1" t="s">
        <v>66</v>
      </c>
      <c r="I1455" t="s">
        <v>67</v>
      </c>
      <c r="J1455" t="s">
        <v>271</v>
      </c>
      <c r="K1455" t="s">
        <v>272</v>
      </c>
      <c r="L1455" t="s">
        <v>273</v>
      </c>
    </row>
    <row r="1456" spans="1:12" ht="15">
      <c r="A1456" s="4">
        <v>201403</v>
      </c>
      <c r="B1456" t="s">
        <v>270</v>
      </c>
      <c r="C1456" s="5">
        <v>6540209</v>
      </c>
      <c r="D1456" s="2" t="s">
        <v>918</v>
      </c>
      <c r="E1456" s="2" t="s">
        <v>15</v>
      </c>
      <c r="F1456" s="3">
        <v>0.75</v>
      </c>
      <c r="H1456" s="1" t="s">
        <v>66</v>
      </c>
      <c r="I1456" t="s">
        <v>67</v>
      </c>
      <c r="J1456" t="s">
        <v>271</v>
      </c>
      <c r="K1456" t="s">
        <v>272</v>
      </c>
      <c r="L1456" t="s">
        <v>273</v>
      </c>
    </row>
    <row r="1457" spans="1:13" ht="15">
      <c r="A1457" s="4">
        <v>201402</v>
      </c>
      <c r="B1457" t="s">
        <v>270</v>
      </c>
      <c r="C1457" s="5">
        <v>6540329</v>
      </c>
      <c r="D1457" s="2" t="s">
        <v>920</v>
      </c>
      <c r="E1457" s="2" t="s">
        <v>15</v>
      </c>
      <c r="F1457" s="3">
        <v>11852.96</v>
      </c>
      <c r="G1457" t="s">
        <v>919</v>
      </c>
      <c r="H1457" s="1" t="s">
        <v>44</v>
      </c>
      <c r="I1457" t="e">
        <f>-TC2 boiler De-slag</f>
        <v>#NAME?</v>
      </c>
      <c r="J1457" t="s">
        <v>271</v>
      </c>
      <c r="K1457" t="s">
        <v>272</v>
      </c>
      <c r="L1457" t="s">
        <v>273</v>
      </c>
      <c r="M1457">
        <v>898821</v>
      </c>
    </row>
    <row r="1458" spans="1:12" ht="15">
      <c r="A1458" s="4">
        <v>201402</v>
      </c>
      <c r="B1458" t="s">
        <v>270</v>
      </c>
      <c r="C1458" s="5">
        <v>6540409</v>
      </c>
      <c r="D1458" s="2" t="s">
        <v>921</v>
      </c>
      <c r="E1458" s="2" t="s">
        <v>15</v>
      </c>
      <c r="F1458" s="3">
        <v>0.37</v>
      </c>
      <c r="H1458" s="1" t="s">
        <v>66</v>
      </c>
      <c r="I1458" t="s">
        <v>67</v>
      </c>
      <c r="J1458" t="s">
        <v>271</v>
      </c>
      <c r="K1458" t="s">
        <v>272</v>
      </c>
      <c r="L1458" t="s">
        <v>273</v>
      </c>
    </row>
    <row r="1459" spans="1:12" ht="15">
      <c r="A1459" s="4">
        <v>201403</v>
      </c>
      <c r="B1459" t="s">
        <v>270</v>
      </c>
      <c r="C1459" s="5">
        <v>6540409</v>
      </c>
      <c r="D1459" s="2" t="s">
        <v>921</v>
      </c>
      <c r="E1459" s="2" t="s">
        <v>15</v>
      </c>
      <c r="F1459" s="3">
        <v>0.91</v>
      </c>
      <c r="H1459" s="1" t="s">
        <v>66</v>
      </c>
      <c r="I1459" t="s">
        <v>67</v>
      </c>
      <c r="J1459" t="s">
        <v>271</v>
      </c>
      <c r="K1459" t="s">
        <v>272</v>
      </c>
      <c r="L1459" t="s">
        <v>273</v>
      </c>
    </row>
    <row r="1460" spans="1:12" ht="15">
      <c r="A1460" s="4">
        <v>201403</v>
      </c>
      <c r="B1460" t="s">
        <v>270</v>
      </c>
      <c r="C1460" s="5">
        <v>6540595</v>
      </c>
      <c r="D1460" s="2" t="s">
        <v>922</v>
      </c>
      <c r="E1460" s="2" t="s">
        <v>15</v>
      </c>
      <c r="F1460" s="3">
        <v>85.83</v>
      </c>
      <c r="H1460" s="1" t="s">
        <v>14</v>
      </c>
      <c r="I1460" t="s">
        <v>89</v>
      </c>
      <c r="J1460" t="s">
        <v>271</v>
      </c>
      <c r="K1460" t="s">
        <v>272</v>
      </c>
      <c r="L1460" t="s">
        <v>273</v>
      </c>
    </row>
    <row r="1461" spans="1:12" ht="15">
      <c r="A1461" s="4">
        <v>201406</v>
      </c>
      <c r="B1461" t="s">
        <v>270</v>
      </c>
      <c r="C1461" s="5">
        <v>6540595</v>
      </c>
      <c r="D1461" s="2" t="s">
        <v>922</v>
      </c>
      <c r="E1461" s="2" t="s">
        <v>15</v>
      </c>
      <c r="F1461" s="3">
        <v>5829</v>
      </c>
      <c r="H1461" s="1" t="s">
        <v>60</v>
      </c>
      <c r="I1461" t="s">
        <v>923</v>
      </c>
      <c r="J1461" t="s">
        <v>271</v>
      </c>
      <c r="K1461" t="s">
        <v>272</v>
      </c>
      <c r="L1461" t="s">
        <v>273</v>
      </c>
    </row>
    <row r="1462" spans="1:12" ht="15">
      <c r="A1462" s="4">
        <v>201407</v>
      </c>
      <c r="B1462" t="s">
        <v>270</v>
      </c>
      <c r="C1462" s="5">
        <v>6540595</v>
      </c>
      <c r="D1462" s="2" t="s">
        <v>922</v>
      </c>
      <c r="E1462" s="2" t="s">
        <v>15</v>
      </c>
      <c r="F1462" s="3">
        <v>-5829</v>
      </c>
      <c r="H1462" s="1" t="s">
        <v>60</v>
      </c>
      <c r="I1462" t="s">
        <v>923</v>
      </c>
      <c r="J1462" t="s">
        <v>271</v>
      </c>
      <c r="K1462" t="s">
        <v>272</v>
      </c>
      <c r="L1462" t="s">
        <v>273</v>
      </c>
    </row>
    <row r="1463" spans="1:14" ht="15">
      <c r="A1463" s="4">
        <v>201407</v>
      </c>
      <c r="B1463" t="s">
        <v>270</v>
      </c>
      <c r="C1463" s="5">
        <v>6540595</v>
      </c>
      <c r="D1463" s="2" t="s">
        <v>922</v>
      </c>
      <c r="E1463" s="2" t="s">
        <v>15</v>
      </c>
      <c r="F1463" s="3">
        <v>349.74</v>
      </c>
      <c r="G1463" t="s">
        <v>57</v>
      </c>
      <c r="H1463" s="1" t="s">
        <v>60</v>
      </c>
      <c r="I1463">
        <f>-14850/2957563/1</f>
        <v>-0.005021025756678725</v>
      </c>
      <c r="J1463" t="s">
        <v>271</v>
      </c>
      <c r="K1463" t="s">
        <v>272</v>
      </c>
      <c r="L1463" t="s">
        <v>273</v>
      </c>
      <c r="N1463" t="s">
        <v>58</v>
      </c>
    </row>
    <row r="1464" spans="1:13" ht="15">
      <c r="A1464" s="4">
        <v>201407</v>
      </c>
      <c r="B1464" t="s">
        <v>270</v>
      </c>
      <c r="C1464" s="5">
        <v>6540595</v>
      </c>
      <c r="D1464" s="2" t="s">
        <v>922</v>
      </c>
      <c r="E1464" s="2" t="s">
        <v>15</v>
      </c>
      <c r="F1464" s="3">
        <v>5829</v>
      </c>
      <c r="G1464" t="s">
        <v>924</v>
      </c>
      <c r="H1464" s="1" t="s">
        <v>60</v>
      </c>
      <c r="I1464" t="s">
        <v>925</v>
      </c>
      <c r="J1464" t="s">
        <v>271</v>
      </c>
      <c r="K1464" t="s">
        <v>272</v>
      </c>
      <c r="L1464" t="s">
        <v>273</v>
      </c>
      <c r="M1464">
        <v>903509</v>
      </c>
    </row>
    <row r="1465" spans="1:12" ht="15">
      <c r="A1465" s="4">
        <v>201403</v>
      </c>
      <c r="B1465" t="s">
        <v>270</v>
      </c>
      <c r="C1465" s="5">
        <v>6540595</v>
      </c>
      <c r="D1465" s="2" t="s">
        <v>922</v>
      </c>
      <c r="E1465" s="2" t="s">
        <v>15</v>
      </c>
      <c r="F1465" s="3">
        <v>3.22</v>
      </c>
      <c r="H1465" s="1" t="s">
        <v>66</v>
      </c>
      <c r="I1465" t="s">
        <v>67</v>
      </c>
      <c r="J1465" t="s">
        <v>271</v>
      </c>
      <c r="K1465" t="s">
        <v>272</v>
      </c>
      <c r="L1465" t="s">
        <v>273</v>
      </c>
    </row>
    <row r="1466" spans="1:12" ht="15">
      <c r="A1466" s="4">
        <v>201404</v>
      </c>
      <c r="B1466" t="s">
        <v>270</v>
      </c>
      <c r="C1466" s="5">
        <v>6540595</v>
      </c>
      <c r="D1466" s="2" t="s">
        <v>922</v>
      </c>
      <c r="E1466" s="2" t="s">
        <v>15</v>
      </c>
      <c r="F1466" s="3">
        <v>2.06</v>
      </c>
      <c r="H1466" s="1" t="s">
        <v>66</v>
      </c>
      <c r="I1466" t="s">
        <v>67</v>
      </c>
      <c r="J1466" t="s">
        <v>271</v>
      </c>
      <c r="K1466" t="s">
        <v>272</v>
      </c>
      <c r="L1466" t="s">
        <v>273</v>
      </c>
    </row>
    <row r="1467" spans="1:12" ht="15">
      <c r="A1467" s="4">
        <v>201402</v>
      </c>
      <c r="B1467" t="s">
        <v>270</v>
      </c>
      <c r="C1467" s="5">
        <v>6540983</v>
      </c>
      <c r="D1467" s="2" t="s">
        <v>927</v>
      </c>
      <c r="E1467" s="2" t="s">
        <v>15</v>
      </c>
      <c r="F1467" s="3">
        <v>2.65</v>
      </c>
      <c r="H1467" s="1" t="s">
        <v>14</v>
      </c>
      <c r="I1467" t="s">
        <v>926</v>
      </c>
      <c r="J1467" t="s">
        <v>271</v>
      </c>
      <c r="K1467" t="s">
        <v>272</v>
      </c>
      <c r="L1467" t="s">
        <v>273</v>
      </c>
    </row>
    <row r="1468" spans="1:12" ht="15">
      <c r="A1468" s="4">
        <v>201402</v>
      </c>
      <c r="B1468" t="s">
        <v>270</v>
      </c>
      <c r="C1468" s="5">
        <v>6540983</v>
      </c>
      <c r="D1468" s="2" t="s">
        <v>927</v>
      </c>
      <c r="E1468" s="2" t="s">
        <v>15</v>
      </c>
      <c r="F1468" s="3">
        <v>4.9</v>
      </c>
      <c r="H1468" s="1" t="s">
        <v>14</v>
      </c>
      <c r="I1468" t="s">
        <v>861</v>
      </c>
      <c r="J1468" t="s">
        <v>271</v>
      </c>
      <c r="K1468" t="s">
        <v>272</v>
      </c>
      <c r="L1468" t="s">
        <v>273</v>
      </c>
    </row>
    <row r="1469" spans="1:12" ht="15">
      <c r="A1469" s="4">
        <v>201402</v>
      </c>
      <c r="B1469" t="s">
        <v>270</v>
      </c>
      <c r="C1469" s="5">
        <v>6540983</v>
      </c>
      <c r="D1469" s="2" t="s">
        <v>927</v>
      </c>
      <c r="E1469" s="2" t="s">
        <v>15</v>
      </c>
      <c r="F1469" s="3">
        <v>12.69</v>
      </c>
      <c r="H1469" s="1" t="s">
        <v>14</v>
      </c>
      <c r="I1469" t="s">
        <v>34</v>
      </c>
      <c r="J1469" t="s">
        <v>271</v>
      </c>
      <c r="K1469" t="s">
        <v>272</v>
      </c>
      <c r="L1469" t="s">
        <v>273</v>
      </c>
    </row>
    <row r="1470" spans="1:12" ht="15">
      <c r="A1470" s="4">
        <v>201402</v>
      </c>
      <c r="B1470" t="s">
        <v>270</v>
      </c>
      <c r="C1470" s="5">
        <v>6540983</v>
      </c>
      <c r="D1470" s="2" t="s">
        <v>927</v>
      </c>
      <c r="E1470" s="2" t="s">
        <v>15</v>
      </c>
      <c r="F1470" s="3">
        <v>74.8</v>
      </c>
      <c r="H1470" s="1" t="s">
        <v>14</v>
      </c>
      <c r="I1470" t="s">
        <v>928</v>
      </c>
      <c r="J1470" t="s">
        <v>271</v>
      </c>
      <c r="K1470" t="s">
        <v>272</v>
      </c>
      <c r="L1470" t="s">
        <v>273</v>
      </c>
    </row>
    <row r="1471" spans="1:12" ht="15">
      <c r="A1471" s="4">
        <v>201402</v>
      </c>
      <c r="B1471" t="s">
        <v>270</v>
      </c>
      <c r="C1471" s="5">
        <v>6540983</v>
      </c>
      <c r="D1471" s="2" t="s">
        <v>927</v>
      </c>
      <c r="E1471" s="2" t="s">
        <v>15</v>
      </c>
      <c r="F1471" s="3">
        <v>1344</v>
      </c>
      <c r="H1471" s="1" t="s">
        <v>14</v>
      </c>
      <c r="I1471" t="s">
        <v>929</v>
      </c>
      <c r="J1471" t="s">
        <v>271</v>
      </c>
      <c r="K1471" t="s">
        <v>272</v>
      </c>
      <c r="L1471" t="s">
        <v>273</v>
      </c>
    </row>
    <row r="1472" spans="1:14" ht="15">
      <c r="A1472" s="4">
        <v>201404</v>
      </c>
      <c r="B1472" t="s">
        <v>270</v>
      </c>
      <c r="C1472" s="5">
        <v>6540983</v>
      </c>
      <c r="D1472" s="2" t="s">
        <v>927</v>
      </c>
      <c r="E1472" s="2" t="s">
        <v>15</v>
      </c>
      <c r="F1472" s="3">
        <v>29.34</v>
      </c>
      <c r="G1472" t="s">
        <v>57</v>
      </c>
      <c r="H1472" s="1" t="s">
        <v>60</v>
      </c>
      <c r="I1472">
        <f>-53919/95083296/1</f>
        <v>-0.0005670712130130618</v>
      </c>
      <c r="J1472" t="s">
        <v>271</v>
      </c>
      <c r="K1472" t="s">
        <v>272</v>
      </c>
      <c r="L1472" t="s">
        <v>273</v>
      </c>
      <c r="N1472" t="s">
        <v>58</v>
      </c>
    </row>
    <row r="1473" spans="1:13" ht="15">
      <c r="A1473" s="4">
        <v>201404</v>
      </c>
      <c r="B1473" t="s">
        <v>270</v>
      </c>
      <c r="C1473" s="5">
        <v>6540983</v>
      </c>
      <c r="D1473" s="2" t="s">
        <v>927</v>
      </c>
      <c r="E1473" s="2" t="s">
        <v>15</v>
      </c>
      <c r="F1473" s="3">
        <v>87</v>
      </c>
      <c r="G1473" t="s">
        <v>446</v>
      </c>
      <c r="H1473" s="1" t="s">
        <v>60</v>
      </c>
      <c r="I1473" t="e">
        <f>-Gaskets Cushion V00-2022</f>
        <v>#NAME?</v>
      </c>
      <c r="J1473" t="s">
        <v>271</v>
      </c>
      <c r="K1473" t="s">
        <v>272</v>
      </c>
      <c r="L1473" t="s">
        <v>273</v>
      </c>
      <c r="M1473">
        <v>900256</v>
      </c>
    </row>
    <row r="1474" spans="1:13" ht="15">
      <c r="A1474" s="4">
        <v>201404</v>
      </c>
      <c r="B1474" t="s">
        <v>270</v>
      </c>
      <c r="C1474" s="5">
        <v>6540983</v>
      </c>
      <c r="D1474" s="2" t="s">
        <v>927</v>
      </c>
      <c r="E1474" s="2" t="s">
        <v>15</v>
      </c>
      <c r="F1474" s="3">
        <v>402</v>
      </c>
      <c r="G1474" t="s">
        <v>446</v>
      </c>
      <c r="H1474" s="1" t="s">
        <v>60</v>
      </c>
      <c r="I1474" t="e">
        <f>-Silicone SEAL V00-2021</f>
        <v>#NAME?</v>
      </c>
      <c r="J1474" t="s">
        <v>271</v>
      </c>
      <c r="K1474" t="s">
        <v>272</v>
      </c>
      <c r="L1474" t="s">
        <v>273</v>
      </c>
      <c r="M1474">
        <v>900256</v>
      </c>
    </row>
    <row r="1475" spans="1:12" ht="15">
      <c r="A1475" s="4">
        <v>201402</v>
      </c>
      <c r="B1475" t="s">
        <v>270</v>
      </c>
      <c r="C1475" s="5">
        <v>6540983</v>
      </c>
      <c r="D1475" s="2" t="s">
        <v>927</v>
      </c>
      <c r="E1475" s="2" t="s">
        <v>15</v>
      </c>
      <c r="F1475" s="3">
        <v>1.33</v>
      </c>
      <c r="H1475" s="1" t="s">
        <v>66</v>
      </c>
      <c r="I1475" t="s">
        <v>67</v>
      </c>
      <c r="J1475" t="s">
        <v>271</v>
      </c>
      <c r="K1475" t="s">
        <v>272</v>
      </c>
      <c r="L1475" t="s">
        <v>273</v>
      </c>
    </row>
    <row r="1476" spans="1:12" ht="15">
      <c r="A1476" s="4">
        <v>201403</v>
      </c>
      <c r="B1476" t="s">
        <v>270</v>
      </c>
      <c r="C1476" s="5">
        <v>6540983</v>
      </c>
      <c r="D1476" s="2" t="s">
        <v>927</v>
      </c>
      <c r="E1476" s="2" t="s">
        <v>15</v>
      </c>
      <c r="F1476" s="3">
        <v>1.07</v>
      </c>
      <c r="H1476" s="1" t="s">
        <v>66</v>
      </c>
      <c r="I1476" t="s">
        <v>67</v>
      </c>
      <c r="J1476" t="s">
        <v>271</v>
      </c>
      <c r="K1476" t="s">
        <v>272</v>
      </c>
      <c r="L1476" t="s">
        <v>273</v>
      </c>
    </row>
    <row r="1477" spans="1:12" ht="15">
      <c r="A1477" s="4">
        <v>201402</v>
      </c>
      <c r="B1477" t="s">
        <v>270</v>
      </c>
      <c r="C1477" s="5">
        <v>6541045</v>
      </c>
      <c r="D1477" s="2" t="s">
        <v>930</v>
      </c>
      <c r="E1477" s="2" t="s">
        <v>15</v>
      </c>
      <c r="F1477" s="3">
        <v>1.48</v>
      </c>
      <c r="H1477" s="1" t="s">
        <v>66</v>
      </c>
      <c r="I1477" t="s">
        <v>67</v>
      </c>
      <c r="J1477" t="s">
        <v>271</v>
      </c>
      <c r="K1477" t="s">
        <v>272</v>
      </c>
      <c r="L1477" t="s">
        <v>273</v>
      </c>
    </row>
    <row r="1478" spans="1:14" ht="15">
      <c r="A1478" s="4">
        <v>201404</v>
      </c>
      <c r="B1478" t="s">
        <v>270</v>
      </c>
      <c r="C1478" s="5">
        <v>6541411</v>
      </c>
      <c r="D1478" s="2" t="s">
        <v>931</v>
      </c>
      <c r="E1478" s="2" t="s">
        <v>15</v>
      </c>
      <c r="F1478" s="3">
        <v>85.92</v>
      </c>
      <c r="G1478" t="s">
        <v>57</v>
      </c>
      <c r="H1478" s="1" t="s">
        <v>60</v>
      </c>
      <c r="I1478">
        <f>-70891/319828/1</f>
        <v>-0.22165351376364797</v>
      </c>
      <c r="J1478" t="s">
        <v>271</v>
      </c>
      <c r="K1478" t="s">
        <v>272</v>
      </c>
      <c r="L1478" t="s">
        <v>273</v>
      </c>
      <c r="N1478" t="s">
        <v>58</v>
      </c>
    </row>
    <row r="1479" spans="1:13" ht="15">
      <c r="A1479" s="4">
        <v>201404</v>
      </c>
      <c r="B1479" t="s">
        <v>270</v>
      </c>
      <c r="C1479" s="5">
        <v>6541411</v>
      </c>
      <c r="D1479" s="2" t="s">
        <v>931</v>
      </c>
      <c r="E1479" s="2" t="s">
        <v>15</v>
      </c>
      <c r="F1479" s="3">
        <v>180</v>
      </c>
      <c r="G1479" t="s">
        <v>81</v>
      </c>
      <c r="H1479" s="1" t="s">
        <v>60</v>
      </c>
      <c r="I1479" t="s">
        <v>932</v>
      </c>
      <c r="J1479" t="s">
        <v>271</v>
      </c>
      <c r="K1479" t="s">
        <v>272</v>
      </c>
      <c r="L1479" t="s">
        <v>273</v>
      </c>
      <c r="M1479">
        <v>901815</v>
      </c>
    </row>
    <row r="1480" spans="1:13" ht="15">
      <c r="A1480" s="4">
        <v>201404</v>
      </c>
      <c r="B1480" t="s">
        <v>270</v>
      </c>
      <c r="C1480" s="5">
        <v>6541411</v>
      </c>
      <c r="D1480" s="2" t="s">
        <v>931</v>
      </c>
      <c r="E1480" s="2" t="s">
        <v>15</v>
      </c>
      <c r="F1480" s="3">
        <v>1252</v>
      </c>
      <c r="G1480" t="s">
        <v>81</v>
      </c>
      <c r="H1480" s="1" t="s">
        <v>60</v>
      </c>
      <c r="I1480" t="s">
        <v>933</v>
      </c>
      <c r="J1480" t="s">
        <v>271</v>
      </c>
      <c r="K1480" t="s">
        <v>272</v>
      </c>
      <c r="L1480" t="s">
        <v>273</v>
      </c>
      <c r="M1480">
        <v>901815</v>
      </c>
    </row>
    <row r="1481" spans="1:12" ht="15">
      <c r="A1481" s="4">
        <v>201402</v>
      </c>
      <c r="B1481" t="s">
        <v>270</v>
      </c>
      <c r="C1481" s="5">
        <v>6541411</v>
      </c>
      <c r="D1481" s="2" t="s">
        <v>931</v>
      </c>
      <c r="E1481" s="2" t="s">
        <v>15</v>
      </c>
      <c r="F1481" s="3">
        <v>1.33</v>
      </c>
      <c r="H1481" s="1" t="s">
        <v>66</v>
      </c>
      <c r="I1481" t="s">
        <v>67</v>
      </c>
      <c r="J1481" t="s">
        <v>271</v>
      </c>
      <c r="K1481" t="s">
        <v>272</v>
      </c>
      <c r="L1481" t="s">
        <v>273</v>
      </c>
    </row>
    <row r="1482" spans="1:12" ht="15">
      <c r="A1482" s="4">
        <v>201405</v>
      </c>
      <c r="B1482" t="s">
        <v>270</v>
      </c>
      <c r="C1482" s="5">
        <v>6541411</v>
      </c>
      <c r="D1482" s="2" t="s">
        <v>931</v>
      </c>
      <c r="E1482" s="2" t="s">
        <v>15</v>
      </c>
      <c r="F1482" s="3">
        <v>1.89</v>
      </c>
      <c r="H1482" s="1" t="s">
        <v>66</v>
      </c>
      <c r="I1482" t="s">
        <v>67</v>
      </c>
      <c r="J1482" t="s">
        <v>271</v>
      </c>
      <c r="K1482" t="s">
        <v>272</v>
      </c>
      <c r="L1482" t="s">
        <v>273</v>
      </c>
    </row>
    <row r="1483" spans="1:12" ht="15">
      <c r="A1483" s="4">
        <v>201405</v>
      </c>
      <c r="B1483" t="s">
        <v>270</v>
      </c>
      <c r="C1483" s="5">
        <v>6541411</v>
      </c>
      <c r="D1483" s="2" t="s">
        <v>931</v>
      </c>
      <c r="E1483" s="2" t="s">
        <v>15</v>
      </c>
      <c r="F1483" s="3">
        <v>0</v>
      </c>
      <c r="H1483" s="1" t="s">
        <v>68</v>
      </c>
      <c r="J1483" t="s">
        <v>271</v>
      </c>
      <c r="K1483" t="s">
        <v>272</v>
      </c>
      <c r="L1483" t="s">
        <v>273</v>
      </c>
    </row>
    <row r="1484" spans="1:12" ht="15">
      <c r="A1484" s="4">
        <v>201405</v>
      </c>
      <c r="B1484" t="s">
        <v>270</v>
      </c>
      <c r="C1484" s="5">
        <v>6541411</v>
      </c>
      <c r="D1484" s="2" t="s">
        <v>931</v>
      </c>
      <c r="E1484" s="2" t="s">
        <v>15</v>
      </c>
      <c r="F1484" s="3">
        <v>0</v>
      </c>
      <c r="H1484" s="1" t="s">
        <v>68</v>
      </c>
      <c r="J1484" t="s">
        <v>271</v>
      </c>
      <c r="K1484" t="s">
        <v>272</v>
      </c>
      <c r="L1484" t="s">
        <v>273</v>
      </c>
    </row>
    <row r="1485" spans="1:12" ht="15">
      <c r="A1485" s="4">
        <v>201405</v>
      </c>
      <c r="B1485" t="s">
        <v>270</v>
      </c>
      <c r="C1485" s="5">
        <v>6541411</v>
      </c>
      <c r="D1485" s="2" t="s">
        <v>931</v>
      </c>
      <c r="E1485" s="2" t="s">
        <v>15</v>
      </c>
      <c r="F1485" s="3">
        <v>12</v>
      </c>
      <c r="H1485" s="1" t="s">
        <v>68</v>
      </c>
      <c r="J1485" t="s">
        <v>271</v>
      </c>
      <c r="K1485" t="s">
        <v>272</v>
      </c>
      <c r="L1485" t="s">
        <v>273</v>
      </c>
    </row>
    <row r="1486" spans="1:14" ht="15">
      <c r="A1486" s="4">
        <v>201404</v>
      </c>
      <c r="B1486" t="s">
        <v>270</v>
      </c>
      <c r="C1486" s="5">
        <v>6541411</v>
      </c>
      <c r="D1486" s="2" t="s">
        <v>931</v>
      </c>
      <c r="E1486" s="2" t="s">
        <v>15</v>
      </c>
      <c r="F1486" s="3">
        <v>5.9</v>
      </c>
      <c r="G1486" t="s">
        <v>57</v>
      </c>
      <c r="H1486" s="1" t="s">
        <v>69</v>
      </c>
      <c r="I1486">
        <f>-70891/319828/1</f>
        <v>-0.22165351376364797</v>
      </c>
      <c r="J1486" t="s">
        <v>271</v>
      </c>
      <c r="K1486" t="s">
        <v>272</v>
      </c>
      <c r="L1486" t="s">
        <v>273</v>
      </c>
      <c r="N1486" t="s">
        <v>58</v>
      </c>
    </row>
    <row r="1487" spans="1:12" ht="15">
      <c r="A1487" s="4">
        <v>201404</v>
      </c>
      <c r="B1487" t="s">
        <v>270</v>
      </c>
      <c r="C1487" s="5">
        <v>6541411</v>
      </c>
      <c r="D1487" s="2" t="s">
        <v>931</v>
      </c>
      <c r="E1487" s="2" t="s">
        <v>15</v>
      </c>
      <c r="F1487" s="3">
        <v>98.26</v>
      </c>
      <c r="G1487" t="s">
        <v>81</v>
      </c>
      <c r="H1487" s="1" t="s">
        <v>69</v>
      </c>
      <c r="I1487" t="e">
        <f>-freight</f>
        <v>#NAME?</v>
      </c>
      <c r="J1487" t="s">
        <v>271</v>
      </c>
      <c r="K1487" t="s">
        <v>272</v>
      </c>
      <c r="L1487" t="s">
        <v>273</v>
      </c>
    </row>
    <row r="1488" spans="1:12" ht="15">
      <c r="A1488" s="4">
        <v>201403</v>
      </c>
      <c r="B1488" t="s">
        <v>270</v>
      </c>
      <c r="C1488" s="5">
        <v>6541429</v>
      </c>
      <c r="D1488" s="2" t="s">
        <v>935</v>
      </c>
      <c r="E1488" s="2" t="s">
        <v>15</v>
      </c>
      <c r="F1488" s="3">
        <v>69.12</v>
      </c>
      <c r="H1488" s="1" t="s">
        <v>14</v>
      </c>
      <c r="I1488" t="s">
        <v>934</v>
      </c>
      <c r="J1488" t="s">
        <v>271</v>
      </c>
      <c r="K1488" t="s">
        <v>272</v>
      </c>
      <c r="L1488" t="s">
        <v>273</v>
      </c>
    </row>
    <row r="1489" spans="1:12" ht="15">
      <c r="A1489" s="4">
        <v>201403</v>
      </c>
      <c r="B1489" t="s">
        <v>270</v>
      </c>
      <c r="C1489" s="5">
        <v>6541429</v>
      </c>
      <c r="D1489" s="2" t="s">
        <v>935</v>
      </c>
      <c r="E1489" s="2" t="s">
        <v>15</v>
      </c>
      <c r="F1489" s="3">
        <v>69.29</v>
      </c>
      <c r="H1489" s="1" t="s">
        <v>14</v>
      </c>
      <c r="I1489" t="s">
        <v>285</v>
      </c>
      <c r="J1489" t="s">
        <v>271</v>
      </c>
      <c r="K1489" t="s">
        <v>272</v>
      </c>
      <c r="L1489" t="s">
        <v>273</v>
      </c>
    </row>
    <row r="1490" spans="1:12" ht="15">
      <c r="A1490" s="4">
        <v>201403</v>
      </c>
      <c r="B1490" t="s">
        <v>270</v>
      </c>
      <c r="C1490" s="5">
        <v>6541429</v>
      </c>
      <c r="D1490" s="2" t="s">
        <v>935</v>
      </c>
      <c r="E1490" s="2" t="s">
        <v>15</v>
      </c>
      <c r="F1490" s="3">
        <v>94.57</v>
      </c>
      <c r="H1490" s="1" t="s">
        <v>14</v>
      </c>
      <c r="I1490" t="s">
        <v>936</v>
      </c>
      <c r="J1490" t="s">
        <v>271</v>
      </c>
      <c r="K1490" t="s">
        <v>272</v>
      </c>
      <c r="L1490" t="s">
        <v>273</v>
      </c>
    </row>
    <row r="1491" spans="1:12" ht="15">
      <c r="A1491" s="4">
        <v>201403</v>
      </c>
      <c r="B1491" t="s">
        <v>270</v>
      </c>
      <c r="C1491" s="5">
        <v>6541429</v>
      </c>
      <c r="D1491" s="2" t="s">
        <v>935</v>
      </c>
      <c r="E1491" s="2" t="s">
        <v>15</v>
      </c>
      <c r="F1491" s="3">
        <v>217.44</v>
      </c>
      <c r="H1491" s="1" t="s">
        <v>14</v>
      </c>
      <c r="I1491" t="s">
        <v>937</v>
      </c>
      <c r="J1491" t="s">
        <v>271</v>
      </c>
      <c r="K1491" t="s">
        <v>272</v>
      </c>
      <c r="L1491" t="s">
        <v>273</v>
      </c>
    </row>
    <row r="1492" spans="1:12" ht="15">
      <c r="A1492" s="4">
        <v>201403</v>
      </c>
      <c r="B1492" t="s">
        <v>270</v>
      </c>
      <c r="C1492" s="5">
        <v>6541429</v>
      </c>
      <c r="D1492" s="2" t="s">
        <v>935</v>
      </c>
      <c r="E1492" s="2" t="s">
        <v>15</v>
      </c>
      <c r="F1492" s="3">
        <v>232.67</v>
      </c>
      <c r="H1492" s="1" t="s">
        <v>14</v>
      </c>
      <c r="I1492" t="s">
        <v>938</v>
      </c>
      <c r="J1492" t="s">
        <v>271</v>
      </c>
      <c r="K1492" t="s">
        <v>272</v>
      </c>
      <c r="L1492" t="s">
        <v>273</v>
      </c>
    </row>
    <row r="1493" spans="1:12" ht="15">
      <c r="A1493" s="4">
        <v>201403</v>
      </c>
      <c r="B1493" t="s">
        <v>270</v>
      </c>
      <c r="C1493" s="5">
        <v>6541429</v>
      </c>
      <c r="D1493" s="2" t="s">
        <v>935</v>
      </c>
      <c r="E1493" s="2" t="s">
        <v>15</v>
      </c>
      <c r="F1493" s="3">
        <v>256.71</v>
      </c>
      <c r="H1493" s="1" t="s">
        <v>14</v>
      </c>
      <c r="I1493" t="s">
        <v>939</v>
      </c>
      <c r="J1493" t="s">
        <v>271</v>
      </c>
      <c r="K1493" t="s">
        <v>272</v>
      </c>
      <c r="L1493" t="s">
        <v>273</v>
      </c>
    </row>
    <row r="1494" spans="1:12" ht="15">
      <c r="A1494" s="4">
        <v>201403</v>
      </c>
      <c r="B1494" t="s">
        <v>270</v>
      </c>
      <c r="C1494" s="5">
        <v>6541429</v>
      </c>
      <c r="D1494" s="2" t="s">
        <v>935</v>
      </c>
      <c r="E1494" s="2" t="s">
        <v>15</v>
      </c>
      <c r="F1494" s="3">
        <v>340.31</v>
      </c>
      <c r="H1494" s="1" t="s">
        <v>14</v>
      </c>
      <c r="I1494" t="s">
        <v>117</v>
      </c>
      <c r="J1494" t="s">
        <v>271</v>
      </c>
      <c r="K1494" t="s">
        <v>272</v>
      </c>
      <c r="L1494" t="s">
        <v>273</v>
      </c>
    </row>
    <row r="1495" spans="1:12" ht="15">
      <c r="A1495" s="4">
        <v>201403</v>
      </c>
      <c r="B1495" t="s">
        <v>270</v>
      </c>
      <c r="C1495" s="5">
        <v>6541429</v>
      </c>
      <c r="D1495" s="2" t="s">
        <v>935</v>
      </c>
      <c r="E1495" s="2" t="s">
        <v>15</v>
      </c>
      <c r="F1495" s="3">
        <v>733.19</v>
      </c>
      <c r="H1495" s="1" t="s">
        <v>14</v>
      </c>
      <c r="I1495" t="s">
        <v>287</v>
      </c>
      <c r="J1495" t="s">
        <v>271</v>
      </c>
      <c r="K1495" t="s">
        <v>272</v>
      </c>
      <c r="L1495" t="s">
        <v>273</v>
      </c>
    </row>
    <row r="1496" spans="1:12" ht="15">
      <c r="A1496" s="4">
        <v>201403</v>
      </c>
      <c r="B1496" t="s">
        <v>270</v>
      </c>
      <c r="C1496" s="5">
        <v>6541429</v>
      </c>
      <c r="D1496" s="2" t="s">
        <v>935</v>
      </c>
      <c r="E1496" s="2" t="s">
        <v>15</v>
      </c>
      <c r="F1496" s="3">
        <v>901.88</v>
      </c>
      <c r="H1496" s="1" t="s">
        <v>14</v>
      </c>
      <c r="I1496" t="s">
        <v>118</v>
      </c>
      <c r="J1496" t="s">
        <v>271</v>
      </c>
      <c r="K1496" t="s">
        <v>272</v>
      </c>
      <c r="L1496" t="s">
        <v>273</v>
      </c>
    </row>
    <row r="1497" spans="1:12" ht="15">
      <c r="A1497" s="4">
        <v>201404</v>
      </c>
      <c r="B1497" t="s">
        <v>270</v>
      </c>
      <c r="C1497" s="5">
        <v>6541429</v>
      </c>
      <c r="D1497" s="2" t="s">
        <v>935</v>
      </c>
      <c r="E1497" s="2" t="s">
        <v>15</v>
      </c>
      <c r="F1497" s="3">
        <v>125.4</v>
      </c>
      <c r="H1497" s="1" t="s">
        <v>14</v>
      </c>
      <c r="I1497" t="s">
        <v>938</v>
      </c>
      <c r="J1497" t="s">
        <v>271</v>
      </c>
      <c r="K1497" t="s">
        <v>272</v>
      </c>
      <c r="L1497" t="s">
        <v>273</v>
      </c>
    </row>
    <row r="1498" spans="1:14" ht="15">
      <c r="A1498" s="4">
        <v>201406</v>
      </c>
      <c r="B1498" t="s">
        <v>270</v>
      </c>
      <c r="C1498" s="5">
        <v>6541707</v>
      </c>
      <c r="D1498" s="2" t="s">
        <v>940</v>
      </c>
      <c r="E1498" s="2" t="s">
        <v>15</v>
      </c>
      <c r="F1498" s="3">
        <v>-120.45</v>
      </c>
      <c r="G1498" t="s">
        <v>57</v>
      </c>
      <c r="H1498" s="1" t="s">
        <v>60</v>
      </c>
      <c r="I1498">
        <f>-12807/426831/2</f>
        <v>-0.015002424847304905</v>
      </c>
      <c r="J1498" t="s">
        <v>271</v>
      </c>
      <c r="K1498" t="s">
        <v>272</v>
      </c>
      <c r="L1498" t="s">
        <v>273</v>
      </c>
      <c r="N1498" t="s">
        <v>58</v>
      </c>
    </row>
    <row r="1499" spans="1:14" ht="15">
      <c r="A1499" s="4">
        <v>201406</v>
      </c>
      <c r="B1499" t="s">
        <v>270</v>
      </c>
      <c r="C1499" s="5">
        <v>6541707</v>
      </c>
      <c r="D1499" s="2" t="s">
        <v>940</v>
      </c>
      <c r="E1499" s="2" t="s">
        <v>15</v>
      </c>
      <c r="F1499" s="3">
        <v>240.9</v>
      </c>
      <c r="G1499" t="s">
        <v>57</v>
      </c>
      <c r="H1499" s="1" t="s">
        <v>60</v>
      </c>
      <c r="I1499">
        <f>-12807/426831/1</f>
        <v>-0.03000484969460981</v>
      </c>
      <c r="J1499" t="s">
        <v>271</v>
      </c>
      <c r="K1499" t="s">
        <v>272</v>
      </c>
      <c r="L1499" t="s">
        <v>273</v>
      </c>
      <c r="N1499" t="s">
        <v>58</v>
      </c>
    </row>
    <row r="1500" spans="1:13" ht="15">
      <c r="A1500" s="4">
        <v>201406</v>
      </c>
      <c r="B1500" t="s">
        <v>270</v>
      </c>
      <c r="C1500" s="5">
        <v>6541707</v>
      </c>
      <c r="D1500" s="2" t="s">
        <v>940</v>
      </c>
      <c r="E1500" s="2" t="s">
        <v>15</v>
      </c>
      <c r="F1500" s="3">
        <v>2007.45</v>
      </c>
      <c r="G1500" t="s">
        <v>941</v>
      </c>
      <c r="H1500" s="1" t="s">
        <v>60</v>
      </c>
      <c r="I1500" t="s">
        <v>942</v>
      </c>
      <c r="J1500" t="s">
        <v>271</v>
      </c>
      <c r="K1500" t="s">
        <v>272</v>
      </c>
      <c r="L1500" t="s">
        <v>273</v>
      </c>
      <c r="M1500">
        <v>904659</v>
      </c>
    </row>
    <row r="1501" spans="1:14" ht="15">
      <c r="A1501" s="4">
        <v>201407</v>
      </c>
      <c r="B1501" t="s">
        <v>270</v>
      </c>
      <c r="C1501" s="5">
        <v>6541707</v>
      </c>
      <c r="D1501" s="2" t="s">
        <v>940</v>
      </c>
      <c r="E1501" s="2" t="s">
        <v>15</v>
      </c>
      <c r="F1501" s="3">
        <v>5.28</v>
      </c>
      <c r="G1501" t="s">
        <v>57</v>
      </c>
      <c r="H1501" s="1" t="s">
        <v>69</v>
      </c>
      <c r="I1501">
        <f>-12807/42397/1</f>
        <v>-0.30207325990046463</v>
      </c>
      <c r="J1501" t="s">
        <v>271</v>
      </c>
      <c r="K1501" t="s">
        <v>272</v>
      </c>
      <c r="L1501" t="s">
        <v>273</v>
      </c>
      <c r="N1501" t="s">
        <v>58</v>
      </c>
    </row>
    <row r="1502" spans="1:12" ht="15">
      <c r="A1502" s="4">
        <v>201407</v>
      </c>
      <c r="B1502" t="s">
        <v>270</v>
      </c>
      <c r="C1502" s="5">
        <v>6541707</v>
      </c>
      <c r="D1502" s="2" t="s">
        <v>940</v>
      </c>
      <c r="E1502" s="2" t="s">
        <v>15</v>
      </c>
      <c r="F1502" s="3">
        <v>88.03</v>
      </c>
      <c r="G1502" t="s">
        <v>941</v>
      </c>
      <c r="H1502" s="1" t="s">
        <v>69</v>
      </c>
      <c r="I1502" t="s">
        <v>943</v>
      </c>
      <c r="J1502" t="s">
        <v>271</v>
      </c>
      <c r="K1502" t="s">
        <v>272</v>
      </c>
      <c r="L1502" t="s">
        <v>273</v>
      </c>
    </row>
    <row r="1503" spans="1:12" ht="15">
      <c r="A1503" s="4">
        <v>201403</v>
      </c>
      <c r="B1503" t="s">
        <v>270</v>
      </c>
      <c r="C1503" s="5">
        <v>6542192</v>
      </c>
      <c r="D1503" s="2" t="s">
        <v>944</v>
      </c>
      <c r="E1503" s="2" t="s">
        <v>15</v>
      </c>
      <c r="F1503" s="3">
        <v>5.53</v>
      </c>
      <c r="H1503" s="1" t="s">
        <v>14</v>
      </c>
      <c r="I1503" t="s">
        <v>32</v>
      </c>
      <c r="J1503" t="s">
        <v>271</v>
      </c>
      <c r="K1503" t="s">
        <v>272</v>
      </c>
      <c r="L1503" t="s">
        <v>273</v>
      </c>
    </row>
    <row r="1504" spans="1:12" ht="15">
      <c r="A1504" s="4">
        <v>201403</v>
      </c>
      <c r="B1504" t="s">
        <v>270</v>
      </c>
      <c r="C1504" s="5">
        <v>6542192</v>
      </c>
      <c r="D1504" s="2" t="s">
        <v>944</v>
      </c>
      <c r="E1504" s="2" t="s">
        <v>15</v>
      </c>
      <c r="F1504" s="3">
        <v>40.2</v>
      </c>
      <c r="H1504" s="1" t="s">
        <v>14</v>
      </c>
      <c r="I1504" t="s">
        <v>327</v>
      </c>
      <c r="J1504" t="s">
        <v>271</v>
      </c>
      <c r="K1504" t="s">
        <v>272</v>
      </c>
      <c r="L1504" t="s">
        <v>273</v>
      </c>
    </row>
    <row r="1505" spans="1:12" ht="15">
      <c r="A1505" s="4">
        <v>201403</v>
      </c>
      <c r="B1505" t="s">
        <v>270</v>
      </c>
      <c r="C1505" s="5">
        <v>6542192</v>
      </c>
      <c r="D1505" s="2" t="s">
        <v>944</v>
      </c>
      <c r="E1505" s="2" t="s">
        <v>15</v>
      </c>
      <c r="F1505" s="3">
        <v>3928</v>
      </c>
      <c r="H1505" s="1" t="s">
        <v>14</v>
      </c>
      <c r="I1505" t="s">
        <v>945</v>
      </c>
      <c r="J1505" t="s">
        <v>271</v>
      </c>
      <c r="K1505" t="s">
        <v>272</v>
      </c>
      <c r="L1505" t="s">
        <v>273</v>
      </c>
    </row>
    <row r="1506" spans="1:12" ht="15">
      <c r="A1506" s="4">
        <v>201403</v>
      </c>
      <c r="B1506" t="s">
        <v>270</v>
      </c>
      <c r="C1506" s="5">
        <v>6542192</v>
      </c>
      <c r="D1506" s="2" t="s">
        <v>944</v>
      </c>
      <c r="E1506" s="2" t="s">
        <v>15</v>
      </c>
      <c r="F1506" s="3">
        <v>0.75</v>
      </c>
      <c r="H1506" s="1" t="s">
        <v>66</v>
      </c>
      <c r="I1506" t="s">
        <v>67</v>
      </c>
      <c r="J1506" t="s">
        <v>271</v>
      </c>
      <c r="K1506" t="s">
        <v>272</v>
      </c>
      <c r="L1506" t="s">
        <v>273</v>
      </c>
    </row>
    <row r="1507" spans="1:12" ht="15">
      <c r="A1507" s="4">
        <v>201404</v>
      </c>
      <c r="B1507" t="s">
        <v>270</v>
      </c>
      <c r="C1507" s="5">
        <v>6542194</v>
      </c>
      <c r="D1507" s="2" t="s">
        <v>946</v>
      </c>
      <c r="E1507" s="2" t="s">
        <v>15</v>
      </c>
      <c r="F1507" s="3">
        <v>1.75</v>
      </c>
      <c r="H1507" s="1" t="s">
        <v>66</v>
      </c>
      <c r="I1507" t="s">
        <v>67</v>
      </c>
      <c r="J1507" t="s">
        <v>271</v>
      </c>
      <c r="K1507" t="s">
        <v>272</v>
      </c>
      <c r="L1507" t="s">
        <v>273</v>
      </c>
    </row>
    <row r="1508" spans="1:12" ht="15">
      <c r="A1508" s="4">
        <v>201403</v>
      </c>
      <c r="B1508" t="s">
        <v>270</v>
      </c>
      <c r="C1508" s="5">
        <v>6542296</v>
      </c>
      <c r="D1508" s="2" t="s">
        <v>948</v>
      </c>
      <c r="E1508" s="2" t="s">
        <v>15</v>
      </c>
      <c r="F1508" s="3">
        <v>292.04</v>
      </c>
      <c r="H1508" s="1" t="s">
        <v>14</v>
      </c>
      <c r="I1508" t="s">
        <v>947</v>
      </c>
      <c r="J1508" t="s">
        <v>271</v>
      </c>
      <c r="K1508" t="s">
        <v>272</v>
      </c>
      <c r="L1508" t="s">
        <v>273</v>
      </c>
    </row>
    <row r="1509" spans="1:13" ht="15">
      <c r="A1509" s="4">
        <v>201403</v>
      </c>
      <c r="B1509" t="s">
        <v>270</v>
      </c>
      <c r="C1509" s="5">
        <v>6542296</v>
      </c>
      <c r="D1509" s="2" t="s">
        <v>948</v>
      </c>
      <c r="E1509" s="2" t="s">
        <v>15</v>
      </c>
      <c r="F1509" s="3">
        <v>35</v>
      </c>
      <c r="G1509" t="s">
        <v>949</v>
      </c>
      <c r="H1509" s="1" t="s">
        <v>60</v>
      </c>
      <c r="I1509" t="s">
        <v>950</v>
      </c>
      <c r="J1509" t="s">
        <v>271</v>
      </c>
      <c r="K1509" t="s">
        <v>272</v>
      </c>
      <c r="L1509" t="s">
        <v>273</v>
      </c>
      <c r="M1509">
        <v>901036</v>
      </c>
    </row>
    <row r="1510" spans="1:13" ht="15">
      <c r="A1510" s="4">
        <v>201403</v>
      </c>
      <c r="B1510" t="s">
        <v>270</v>
      </c>
      <c r="C1510" s="5">
        <v>6542296</v>
      </c>
      <c r="D1510" s="2" t="s">
        <v>948</v>
      </c>
      <c r="E1510" s="2" t="s">
        <v>15</v>
      </c>
      <c r="F1510" s="3">
        <v>85</v>
      </c>
      <c r="G1510" t="s">
        <v>949</v>
      </c>
      <c r="H1510" s="1" t="s">
        <v>60</v>
      </c>
      <c r="I1510" t="e">
        <f>-Machining of handwheel fastener</f>
        <v>#NAME?</v>
      </c>
      <c r="J1510" t="s">
        <v>271</v>
      </c>
      <c r="K1510" t="s">
        <v>272</v>
      </c>
      <c r="L1510" t="s">
        <v>273</v>
      </c>
      <c r="M1510">
        <v>901036</v>
      </c>
    </row>
    <row r="1511" spans="1:13" ht="15">
      <c r="A1511" s="4">
        <v>201403</v>
      </c>
      <c r="B1511" t="s">
        <v>270</v>
      </c>
      <c r="C1511" s="5">
        <v>6542296</v>
      </c>
      <c r="D1511" s="2" t="s">
        <v>948</v>
      </c>
      <c r="E1511" s="2" t="s">
        <v>15</v>
      </c>
      <c r="F1511" s="3">
        <v>110</v>
      </c>
      <c r="G1511" t="s">
        <v>949</v>
      </c>
      <c r="H1511" s="1" t="s">
        <v>60</v>
      </c>
      <c r="I1511" t="e">
        <f>-New Speed Handle+fastener</f>
        <v>#NAME?</v>
      </c>
      <c r="J1511" t="s">
        <v>271</v>
      </c>
      <c r="K1511" t="s">
        <v>272</v>
      </c>
      <c r="L1511" t="s">
        <v>273</v>
      </c>
      <c r="M1511">
        <v>901036</v>
      </c>
    </row>
    <row r="1512" spans="1:13" ht="15">
      <c r="A1512" s="4">
        <v>201403</v>
      </c>
      <c r="B1512" t="s">
        <v>270</v>
      </c>
      <c r="C1512" s="5">
        <v>6542296</v>
      </c>
      <c r="D1512" s="2" t="s">
        <v>948</v>
      </c>
      <c r="E1512" s="2" t="s">
        <v>15</v>
      </c>
      <c r="F1512" s="3">
        <v>115</v>
      </c>
      <c r="G1512" t="s">
        <v>949</v>
      </c>
      <c r="H1512" s="1" t="s">
        <v>60</v>
      </c>
      <c r="I1512" t="s">
        <v>951</v>
      </c>
      <c r="J1512" t="s">
        <v>271</v>
      </c>
      <c r="K1512" t="s">
        <v>272</v>
      </c>
      <c r="L1512" t="s">
        <v>273</v>
      </c>
      <c r="M1512">
        <v>901036</v>
      </c>
    </row>
    <row r="1513" spans="1:13" ht="15">
      <c r="A1513" s="4">
        <v>201403</v>
      </c>
      <c r="B1513" t="s">
        <v>270</v>
      </c>
      <c r="C1513" s="5">
        <v>6542296</v>
      </c>
      <c r="D1513" s="2" t="s">
        <v>948</v>
      </c>
      <c r="E1513" s="2" t="s">
        <v>15</v>
      </c>
      <c r="F1513" s="3">
        <v>125</v>
      </c>
      <c r="G1513" t="s">
        <v>949</v>
      </c>
      <c r="H1513" s="1" t="s">
        <v>60</v>
      </c>
      <c r="I1513" t="s">
        <v>952</v>
      </c>
      <c r="J1513" t="s">
        <v>271</v>
      </c>
      <c r="K1513" t="s">
        <v>272</v>
      </c>
      <c r="L1513" t="s">
        <v>273</v>
      </c>
      <c r="M1513">
        <v>901036</v>
      </c>
    </row>
    <row r="1514" spans="1:14" ht="15">
      <c r="A1514" s="4">
        <v>201403</v>
      </c>
      <c r="B1514" t="s">
        <v>270</v>
      </c>
      <c r="C1514" s="5">
        <v>6542296</v>
      </c>
      <c r="D1514" s="2" t="s">
        <v>948</v>
      </c>
      <c r="E1514" s="2" t="s">
        <v>15</v>
      </c>
      <c r="F1514" s="3">
        <v>136.44</v>
      </c>
      <c r="G1514" t="s">
        <v>57</v>
      </c>
      <c r="H1514" s="1" t="s">
        <v>60</v>
      </c>
      <c r="I1514">
        <f>-51430/57371/1</f>
        <v>-0.8964459395862021</v>
      </c>
      <c r="J1514" t="s">
        <v>271</v>
      </c>
      <c r="K1514" t="s">
        <v>272</v>
      </c>
      <c r="L1514" t="s">
        <v>273</v>
      </c>
      <c r="N1514" t="s">
        <v>58</v>
      </c>
    </row>
    <row r="1515" spans="1:13" ht="15">
      <c r="A1515" s="4">
        <v>201403</v>
      </c>
      <c r="B1515" t="s">
        <v>270</v>
      </c>
      <c r="C1515" s="5">
        <v>6542296</v>
      </c>
      <c r="D1515" s="2" t="s">
        <v>948</v>
      </c>
      <c r="E1515" s="2" t="s">
        <v>15</v>
      </c>
      <c r="F1515" s="3">
        <v>198</v>
      </c>
      <c r="G1515" t="s">
        <v>949</v>
      </c>
      <c r="H1515" s="1" t="s">
        <v>60</v>
      </c>
      <c r="I1515" t="s">
        <v>953</v>
      </c>
      <c r="J1515" t="s">
        <v>271</v>
      </c>
      <c r="K1515" t="s">
        <v>272</v>
      </c>
      <c r="L1515" t="s">
        <v>273</v>
      </c>
      <c r="M1515">
        <v>901036</v>
      </c>
    </row>
    <row r="1516" spans="1:13" ht="15">
      <c r="A1516" s="4">
        <v>201403</v>
      </c>
      <c r="B1516" t="s">
        <v>270</v>
      </c>
      <c r="C1516" s="5">
        <v>6542296</v>
      </c>
      <c r="D1516" s="2" t="s">
        <v>948</v>
      </c>
      <c r="E1516" s="2" t="s">
        <v>15</v>
      </c>
      <c r="F1516" s="3">
        <v>356</v>
      </c>
      <c r="G1516" t="s">
        <v>949</v>
      </c>
      <c r="H1516" s="1" t="s">
        <v>60</v>
      </c>
      <c r="I1516" t="s">
        <v>954</v>
      </c>
      <c r="J1516" t="s">
        <v>271</v>
      </c>
      <c r="K1516" t="s">
        <v>272</v>
      </c>
      <c r="L1516" t="s">
        <v>273</v>
      </c>
      <c r="M1516">
        <v>901036</v>
      </c>
    </row>
    <row r="1517" spans="1:13" ht="15">
      <c r="A1517" s="4">
        <v>201403</v>
      </c>
      <c r="B1517" t="s">
        <v>270</v>
      </c>
      <c r="C1517" s="5">
        <v>6542296</v>
      </c>
      <c r="D1517" s="2" t="s">
        <v>948</v>
      </c>
      <c r="E1517" s="2" t="s">
        <v>15</v>
      </c>
      <c r="F1517" s="3">
        <v>1250</v>
      </c>
      <c r="G1517" t="s">
        <v>949</v>
      </c>
      <c r="H1517" s="1" t="s">
        <v>60</v>
      </c>
      <c r="I1517" t="s">
        <v>955</v>
      </c>
      <c r="J1517" t="s">
        <v>271</v>
      </c>
      <c r="K1517" t="s">
        <v>272</v>
      </c>
      <c r="L1517" t="s">
        <v>273</v>
      </c>
      <c r="M1517">
        <v>901036</v>
      </c>
    </row>
    <row r="1518" spans="1:14" ht="15">
      <c r="A1518" s="4">
        <v>201403</v>
      </c>
      <c r="B1518" t="s">
        <v>270</v>
      </c>
      <c r="C1518" s="5">
        <v>6542296</v>
      </c>
      <c r="D1518" s="2" t="s">
        <v>948</v>
      </c>
      <c r="E1518" s="2" t="s">
        <v>15</v>
      </c>
      <c r="F1518" s="3">
        <v>7.47</v>
      </c>
      <c r="G1518" t="s">
        <v>57</v>
      </c>
      <c r="H1518" s="1" t="s">
        <v>69</v>
      </c>
      <c r="I1518">
        <f>-51430/57371/1</f>
        <v>-0.8964459395862021</v>
      </c>
      <c r="J1518" t="s">
        <v>271</v>
      </c>
      <c r="K1518" t="s">
        <v>272</v>
      </c>
      <c r="L1518" t="s">
        <v>273</v>
      </c>
      <c r="N1518" t="s">
        <v>58</v>
      </c>
    </row>
    <row r="1519" spans="1:12" ht="15">
      <c r="A1519" s="4">
        <v>201403</v>
      </c>
      <c r="B1519" t="s">
        <v>270</v>
      </c>
      <c r="C1519" s="5">
        <v>6542296</v>
      </c>
      <c r="D1519" s="2" t="s">
        <v>948</v>
      </c>
      <c r="E1519" s="2" t="s">
        <v>15</v>
      </c>
      <c r="F1519" s="3">
        <v>124.48</v>
      </c>
      <c r="G1519" t="s">
        <v>949</v>
      </c>
      <c r="H1519" s="1" t="s">
        <v>69</v>
      </c>
      <c r="I1519" t="e">
        <f>-freight</f>
        <v>#NAME?</v>
      </c>
      <c r="J1519" t="s">
        <v>271</v>
      </c>
      <c r="K1519" t="s">
        <v>272</v>
      </c>
      <c r="L1519" t="s">
        <v>273</v>
      </c>
    </row>
    <row r="1520" spans="1:12" ht="15">
      <c r="A1520" s="4">
        <v>201403</v>
      </c>
      <c r="B1520" t="s">
        <v>270</v>
      </c>
      <c r="C1520" s="5">
        <v>6542350</v>
      </c>
      <c r="D1520" s="2" t="s">
        <v>956</v>
      </c>
      <c r="E1520" s="2" t="s">
        <v>15</v>
      </c>
      <c r="F1520" s="3">
        <v>0.43</v>
      </c>
      <c r="H1520" s="1" t="s">
        <v>66</v>
      </c>
      <c r="I1520" t="s">
        <v>67</v>
      </c>
      <c r="J1520" t="s">
        <v>271</v>
      </c>
      <c r="K1520" t="s">
        <v>272</v>
      </c>
      <c r="L1520" t="s">
        <v>273</v>
      </c>
    </row>
    <row r="1521" spans="1:12" ht="15">
      <c r="A1521" s="4">
        <v>201402</v>
      </c>
      <c r="B1521" t="s">
        <v>270</v>
      </c>
      <c r="C1521" s="5">
        <v>6542399</v>
      </c>
      <c r="D1521" s="2" t="s">
        <v>958</v>
      </c>
      <c r="E1521" s="2" t="s">
        <v>15</v>
      </c>
      <c r="F1521" s="3">
        <v>3.1</v>
      </c>
      <c r="H1521" s="1" t="s">
        <v>14</v>
      </c>
      <c r="I1521" t="s">
        <v>957</v>
      </c>
      <c r="J1521" t="s">
        <v>271</v>
      </c>
      <c r="K1521" t="s">
        <v>272</v>
      </c>
      <c r="L1521" t="s">
        <v>273</v>
      </c>
    </row>
    <row r="1522" spans="1:12" ht="15">
      <c r="A1522" s="4">
        <v>201402</v>
      </c>
      <c r="B1522" t="s">
        <v>270</v>
      </c>
      <c r="C1522" s="5">
        <v>6542399</v>
      </c>
      <c r="D1522" s="2" t="s">
        <v>958</v>
      </c>
      <c r="E1522" s="2" t="s">
        <v>15</v>
      </c>
      <c r="F1522" s="3">
        <v>4.6</v>
      </c>
      <c r="H1522" s="1" t="s">
        <v>14</v>
      </c>
      <c r="I1522" t="s">
        <v>959</v>
      </c>
      <c r="J1522" t="s">
        <v>271</v>
      </c>
      <c r="K1522" t="s">
        <v>272</v>
      </c>
      <c r="L1522" t="s">
        <v>273</v>
      </c>
    </row>
    <row r="1523" spans="1:12" ht="15">
      <c r="A1523" s="4">
        <v>201402</v>
      </c>
      <c r="B1523" t="s">
        <v>270</v>
      </c>
      <c r="C1523" s="5">
        <v>6542399</v>
      </c>
      <c r="D1523" s="2" t="s">
        <v>958</v>
      </c>
      <c r="E1523" s="2" t="s">
        <v>15</v>
      </c>
      <c r="F1523" s="3">
        <v>8.82</v>
      </c>
      <c r="H1523" s="1" t="s">
        <v>14</v>
      </c>
      <c r="I1523" t="s">
        <v>514</v>
      </c>
      <c r="J1523" t="s">
        <v>271</v>
      </c>
      <c r="K1523" t="s">
        <v>272</v>
      </c>
      <c r="L1523" t="s">
        <v>273</v>
      </c>
    </row>
    <row r="1524" spans="1:12" ht="15">
      <c r="A1524" s="4">
        <v>201402</v>
      </c>
      <c r="B1524" t="s">
        <v>270</v>
      </c>
      <c r="C1524" s="5">
        <v>6542399</v>
      </c>
      <c r="D1524" s="2" t="s">
        <v>958</v>
      </c>
      <c r="E1524" s="2" t="s">
        <v>15</v>
      </c>
      <c r="F1524" s="3">
        <v>11.53</v>
      </c>
      <c r="H1524" s="1" t="s">
        <v>14</v>
      </c>
      <c r="I1524" t="s">
        <v>363</v>
      </c>
      <c r="J1524" t="s">
        <v>271</v>
      </c>
      <c r="K1524" t="s">
        <v>272</v>
      </c>
      <c r="L1524" t="s">
        <v>273</v>
      </c>
    </row>
    <row r="1525" spans="1:12" ht="15">
      <c r="A1525" s="4">
        <v>201402</v>
      </c>
      <c r="B1525" t="s">
        <v>270</v>
      </c>
      <c r="C1525" s="5">
        <v>6542399</v>
      </c>
      <c r="D1525" s="2" t="s">
        <v>958</v>
      </c>
      <c r="E1525" s="2" t="s">
        <v>15</v>
      </c>
      <c r="F1525" s="3">
        <v>16.4</v>
      </c>
      <c r="H1525" s="1" t="s">
        <v>14</v>
      </c>
      <c r="I1525" t="s">
        <v>960</v>
      </c>
      <c r="J1525" t="s">
        <v>271</v>
      </c>
      <c r="K1525" t="s">
        <v>272</v>
      </c>
      <c r="L1525" t="s">
        <v>273</v>
      </c>
    </row>
    <row r="1526" spans="1:12" ht="15">
      <c r="A1526" s="4">
        <v>201402</v>
      </c>
      <c r="B1526" t="s">
        <v>270</v>
      </c>
      <c r="C1526" s="5">
        <v>6542399</v>
      </c>
      <c r="D1526" s="2" t="s">
        <v>958</v>
      </c>
      <c r="E1526" s="2" t="s">
        <v>15</v>
      </c>
      <c r="F1526" s="3">
        <v>35.44</v>
      </c>
      <c r="H1526" s="1" t="s">
        <v>14</v>
      </c>
      <c r="I1526" t="s">
        <v>106</v>
      </c>
      <c r="J1526" t="s">
        <v>271</v>
      </c>
      <c r="K1526" t="s">
        <v>272</v>
      </c>
      <c r="L1526" t="s">
        <v>273</v>
      </c>
    </row>
    <row r="1527" spans="1:12" ht="15">
      <c r="A1527" s="4">
        <v>201402</v>
      </c>
      <c r="B1527" t="s">
        <v>270</v>
      </c>
      <c r="C1527" s="5">
        <v>6542399</v>
      </c>
      <c r="D1527" s="2" t="s">
        <v>958</v>
      </c>
      <c r="E1527" s="2" t="s">
        <v>15</v>
      </c>
      <c r="F1527" s="3">
        <v>50.28</v>
      </c>
      <c r="H1527" s="1" t="s">
        <v>14</v>
      </c>
      <c r="I1527" t="s">
        <v>961</v>
      </c>
      <c r="J1527" t="s">
        <v>271</v>
      </c>
      <c r="K1527" t="s">
        <v>272</v>
      </c>
      <c r="L1527" t="s">
        <v>273</v>
      </c>
    </row>
    <row r="1528" spans="1:12" ht="15">
      <c r="A1528" s="4">
        <v>201402</v>
      </c>
      <c r="B1528" t="s">
        <v>270</v>
      </c>
      <c r="C1528" s="5">
        <v>6542399</v>
      </c>
      <c r="D1528" s="2" t="s">
        <v>958</v>
      </c>
      <c r="E1528" s="2" t="s">
        <v>15</v>
      </c>
      <c r="F1528" s="3">
        <v>37.4</v>
      </c>
      <c r="H1528" s="1" t="s">
        <v>66</v>
      </c>
      <c r="I1528" t="s">
        <v>67</v>
      </c>
      <c r="J1528" t="s">
        <v>271</v>
      </c>
      <c r="K1528" t="s">
        <v>272</v>
      </c>
      <c r="L1528" t="s">
        <v>273</v>
      </c>
    </row>
    <row r="1529" spans="1:12" ht="15">
      <c r="A1529" s="4">
        <v>201406</v>
      </c>
      <c r="B1529" t="s">
        <v>270</v>
      </c>
      <c r="C1529" s="5">
        <v>6542399</v>
      </c>
      <c r="D1529" s="2" t="s">
        <v>958</v>
      </c>
      <c r="E1529" s="2" t="s">
        <v>15</v>
      </c>
      <c r="F1529" s="3">
        <v>58.04</v>
      </c>
      <c r="H1529" s="1" t="s">
        <v>66</v>
      </c>
      <c r="I1529" t="s">
        <v>67</v>
      </c>
      <c r="J1529" t="s">
        <v>271</v>
      </c>
      <c r="K1529" t="s">
        <v>272</v>
      </c>
      <c r="L1529" t="s">
        <v>273</v>
      </c>
    </row>
    <row r="1530" spans="1:12" ht="15">
      <c r="A1530" s="4">
        <v>201408</v>
      </c>
      <c r="B1530" t="s">
        <v>270</v>
      </c>
      <c r="C1530" s="5">
        <v>6542399</v>
      </c>
      <c r="D1530" s="2" t="s">
        <v>958</v>
      </c>
      <c r="E1530" s="2" t="s">
        <v>15</v>
      </c>
      <c r="F1530" s="3">
        <v>11.79</v>
      </c>
      <c r="H1530" s="1" t="s">
        <v>66</v>
      </c>
      <c r="I1530" t="s">
        <v>67</v>
      </c>
      <c r="J1530" t="s">
        <v>271</v>
      </c>
      <c r="K1530" t="s">
        <v>272</v>
      </c>
      <c r="L1530" t="s">
        <v>273</v>
      </c>
    </row>
    <row r="1531" spans="1:12" ht="15">
      <c r="A1531" s="4">
        <v>201403</v>
      </c>
      <c r="B1531" t="s">
        <v>270</v>
      </c>
      <c r="C1531" s="5">
        <v>6542557</v>
      </c>
      <c r="D1531" s="2" t="s">
        <v>962</v>
      </c>
      <c r="E1531" s="2" t="s">
        <v>15</v>
      </c>
      <c r="F1531" s="3">
        <v>0.43</v>
      </c>
      <c r="H1531" s="1" t="s">
        <v>66</v>
      </c>
      <c r="I1531" t="s">
        <v>67</v>
      </c>
      <c r="J1531" t="s">
        <v>271</v>
      </c>
      <c r="K1531" t="s">
        <v>272</v>
      </c>
      <c r="L1531" t="s">
        <v>273</v>
      </c>
    </row>
    <row r="1532" spans="1:12" ht="15">
      <c r="A1532" s="4">
        <v>201406</v>
      </c>
      <c r="B1532" t="s">
        <v>270</v>
      </c>
      <c r="C1532" s="5">
        <v>6542582</v>
      </c>
      <c r="D1532" s="2" t="s">
        <v>963</v>
      </c>
      <c r="E1532" s="2" t="s">
        <v>15</v>
      </c>
      <c r="F1532" s="3">
        <v>2.73</v>
      </c>
      <c r="H1532" s="1" t="s">
        <v>14</v>
      </c>
      <c r="I1532" t="s">
        <v>84</v>
      </c>
      <c r="J1532" t="s">
        <v>271</v>
      </c>
      <c r="K1532" t="s">
        <v>272</v>
      </c>
      <c r="L1532" t="s">
        <v>273</v>
      </c>
    </row>
    <row r="1533" spans="1:12" ht="15">
      <c r="A1533" s="4">
        <v>201402</v>
      </c>
      <c r="B1533" t="s">
        <v>270</v>
      </c>
      <c r="C1533" s="5">
        <v>6542809</v>
      </c>
      <c r="D1533" s="2" t="s">
        <v>964</v>
      </c>
      <c r="E1533" s="2" t="s">
        <v>15</v>
      </c>
      <c r="F1533" s="3">
        <v>15.97</v>
      </c>
      <c r="H1533" s="1" t="s">
        <v>14</v>
      </c>
      <c r="I1533" t="s">
        <v>384</v>
      </c>
      <c r="J1533" t="s">
        <v>271</v>
      </c>
      <c r="K1533" t="s">
        <v>272</v>
      </c>
      <c r="L1533" t="s">
        <v>273</v>
      </c>
    </row>
    <row r="1534" spans="1:13" ht="15">
      <c r="A1534" s="4">
        <v>201403</v>
      </c>
      <c r="B1534" t="s">
        <v>270</v>
      </c>
      <c r="C1534" s="5">
        <v>6542809</v>
      </c>
      <c r="D1534" s="2" t="s">
        <v>964</v>
      </c>
      <c r="E1534" s="2" t="s">
        <v>15</v>
      </c>
      <c r="F1534" s="3">
        <v>465.8</v>
      </c>
      <c r="G1534" t="s">
        <v>73</v>
      </c>
      <c r="H1534" s="1" t="s">
        <v>46</v>
      </c>
      <c r="I1534" t="s">
        <v>94</v>
      </c>
      <c r="J1534" t="s">
        <v>271</v>
      </c>
      <c r="K1534" t="s">
        <v>272</v>
      </c>
      <c r="L1534" t="s">
        <v>273</v>
      </c>
      <c r="M1534">
        <v>902317</v>
      </c>
    </row>
    <row r="1535" spans="1:13" ht="15">
      <c r="A1535" s="4">
        <v>201405</v>
      </c>
      <c r="B1535" t="s">
        <v>270</v>
      </c>
      <c r="C1535" s="5">
        <v>6542809</v>
      </c>
      <c r="D1535" s="2" t="s">
        <v>964</v>
      </c>
      <c r="E1535" s="2" t="s">
        <v>15</v>
      </c>
      <c r="F1535" s="3">
        <v>495.22</v>
      </c>
      <c r="G1535" t="s">
        <v>73</v>
      </c>
      <c r="H1535" s="1" t="s">
        <v>46</v>
      </c>
      <c r="I1535" t="s">
        <v>95</v>
      </c>
      <c r="J1535" t="s">
        <v>271</v>
      </c>
      <c r="K1535" t="s">
        <v>272</v>
      </c>
      <c r="L1535" t="s">
        <v>273</v>
      </c>
      <c r="M1535">
        <v>904872</v>
      </c>
    </row>
    <row r="1536" spans="1:13" ht="15">
      <c r="A1536" s="4">
        <v>201404</v>
      </c>
      <c r="B1536" t="s">
        <v>270</v>
      </c>
      <c r="C1536" s="5">
        <v>6542978</v>
      </c>
      <c r="D1536" s="2" t="s">
        <v>965</v>
      </c>
      <c r="E1536" s="2" t="s">
        <v>15</v>
      </c>
      <c r="F1536" s="3">
        <v>37632</v>
      </c>
      <c r="G1536" t="s">
        <v>739</v>
      </c>
      <c r="H1536" s="1" t="s">
        <v>78</v>
      </c>
      <c r="I1536" t="e">
        <f>-MATERIAL-Install refractory on TC2 INSPECTION doors and REPAIR refractory on existing boiler doors.</f>
        <v>#NAME?</v>
      </c>
      <c r="J1536" t="s">
        <v>271</v>
      </c>
      <c r="K1536" t="s">
        <v>272</v>
      </c>
      <c r="L1536" t="s">
        <v>273</v>
      </c>
      <c r="M1536">
        <v>899704</v>
      </c>
    </row>
    <row r="1537" spans="1:14" ht="15">
      <c r="A1537" s="4">
        <v>201404</v>
      </c>
      <c r="B1537" t="s">
        <v>270</v>
      </c>
      <c r="C1537" s="5">
        <v>6542978</v>
      </c>
      <c r="D1537" s="2" t="s">
        <v>965</v>
      </c>
      <c r="E1537" s="2" t="s">
        <v>15</v>
      </c>
      <c r="F1537" s="3">
        <v>23.1</v>
      </c>
      <c r="G1537" t="s">
        <v>57</v>
      </c>
      <c r="H1537" s="1" t="s">
        <v>69</v>
      </c>
      <c r="I1537" t="s">
        <v>966</v>
      </c>
      <c r="J1537" t="s">
        <v>271</v>
      </c>
      <c r="K1537" t="s">
        <v>272</v>
      </c>
      <c r="L1537" t="s">
        <v>273</v>
      </c>
      <c r="N1537" t="s">
        <v>58</v>
      </c>
    </row>
    <row r="1538" spans="1:12" ht="15">
      <c r="A1538" s="4">
        <v>201404</v>
      </c>
      <c r="B1538" t="s">
        <v>270</v>
      </c>
      <c r="C1538" s="5">
        <v>6542978</v>
      </c>
      <c r="D1538" s="2" t="s">
        <v>965</v>
      </c>
      <c r="E1538" s="2" t="s">
        <v>15</v>
      </c>
      <c r="F1538" s="3">
        <v>385</v>
      </c>
      <c r="G1538" t="s">
        <v>739</v>
      </c>
      <c r="H1538" s="1" t="s">
        <v>69</v>
      </c>
      <c r="I1538" t="e">
        <f>-freight</f>
        <v>#NAME?</v>
      </c>
      <c r="J1538" t="s">
        <v>271</v>
      </c>
      <c r="K1538" t="s">
        <v>272</v>
      </c>
      <c r="L1538" t="s">
        <v>273</v>
      </c>
    </row>
    <row r="1539" spans="1:13" ht="15">
      <c r="A1539" s="4">
        <v>201403</v>
      </c>
      <c r="B1539" t="s">
        <v>270</v>
      </c>
      <c r="C1539" s="5">
        <v>6542995</v>
      </c>
      <c r="D1539" s="2" t="s">
        <v>967</v>
      </c>
      <c r="E1539" s="2" t="s">
        <v>15</v>
      </c>
      <c r="F1539" s="3">
        <v>1896.4</v>
      </c>
      <c r="G1539" t="s">
        <v>211</v>
      </c>
      <c r="H1539" s="1" t="s">
        <v>44</v>
      </c>
      <c r="I1539" t="e">
        <f>-NDE at mixing header welds.</f>
        <v>#NAME?</v>
      </c>
      <c r="J1539" t="s">
        <v>271</v>
      </c>
      <c r="K1539" t="s">
        <v>272</v>
      </c>
      <c r="L1539" t="s">
        <v>273</v>
      </c>
      <c r="M1539">
        <v>899310</v>
      </c>
    </row>
    <row r="1540" spans="1:13" ht="15">
      <c r="A1540" s="4">
        <v>201408</v>
      </c>
      <c r="B1540" t="s">
        <v>270</v>
      </c>
      <c r="C1540" s="5">
        <v>6542995</v>
      </c>
      <c r="D1540" s="2" t="s">
        <v>967</v>
      </c>
      <c r="E1540" s="2" t="s">
        <v>15</v>
      </c>
      <c r="F1540" s="3">
        <v>2683.13</v>
      </c>
      <c r="G1540" t="s">
        <v>211</v>
      </c>
      <c r="H1540" s="1" t="s">
        <v>44</v>
      </c>
      <c r="I1540" t="e">
        <f>-NDE at mixing header welds.</f>
        <v>#NAME?</v>
      </c>
      <c r="J1540" t="s">
        <v>271</v>
      </c>
      <c r="K1540" t="s">
        <v>272</v>
      </c>
      <c r="L1540" t="s">
        <v>273</v>
      </c>
      <c r="M1540">
        <v>899310</v>
      </c>
    </row>
    <row r="1541" spans="1:13" ht="15">
      <c r="A1541" s="4">
        <v>201403</v>
      </c>
      <c r="B1541" t="s">
        <v>270</v>
      </c>
      <c r="C1541" s="5">
        <v>6542995</v>
      </c>
      <c r="D1541" s="2" t="s">
        <v>967</v>
      </c>
      <c r="E1541" s="2" t="s">
        <v>15</v>
      </c>
      <c r="F1541" s="3">
        <v>6984.08</v>
      </c>
      <c r="G1541" t="s">
        <v>73</v>
      </c>
      <c r="H1541" s="1" t="s">
        <v>46</v>
      </c>
      <c r="I1541" t="s">
        <v>94</v>
      </c>
      <c r="J1541" t="s">
        <v>271</v>
      </c>
      <c r="K1541" t="s">
        <v>272</v>
      </c>
      <c r="L1541" t="s">
        <v>273</v>
      </c>
      <c r="M1541">
        <v>902317</v>
      </c>
    </row>
    <row r="1542" spans="1:13" ht="15">
      <c r="A1542" s="4">
        <v>201405</v>
      </c>
      <c r="B1542" t="s">
        <v>270</v>
      </c>
      <c r="C1542" s="5">
        <v>6542995</v>
      </c>
      <c r="D1542" s="2" t="s">
        <v>967</v>
      </c>
      <c r="E1542" s="2" t="s">
        <v>15</v>
      </c>
      <c r="F1542" s="3">
        <v>244.83</v>
      </c>
      <c r="G1542" t="s">
        <v>73</v>
      </c>
      <c r="H1542" s="1" t="s">
        <v>46</v>
      </c>
      <c r="I1542" t="s">
        <v>74</v>
      </c>
      <c r="J1542" t="s">
        <v>271</v>
      </c>
      <c r="K1542" t="s">
        <v>272</v>
      </c>
      <c r="L1542" t="s">
        <v>273</v>
      </c>
      <c r="M1542">
        <v>905953</v>
      </c>
    </row>
    <row r="1543" spans="1:13" ht="15">
      <c r="A1543" s="4">
        <v>201405</v>
      </c>
      <c r="B1543" t="s">
        <v>270</v>
      </c>
      <c r="C1543" s="5">
        <v>6542995</v>
      </c>
      <c r="D1543" s="2" t="s">
        <v>967</v>
      </c>
      <c r="E1543" s="2" t="s">
        <v>15</v>
      </c>
      <c r="F1543" s="3">
        <v>355.83</v>
      </c>
      <c r="G1543" t="s">
        <v>73</v>
      </c>
      <c r="H1543" s="1" t="s">
        <v>46</v>
      </c>
      <c r="I1543" t="s">
        <v>95</v>
      </c>
      <c r="J1543" t="s">
        <v>271</v>
      </c>
      <c r="K1543" t="s">
        <v>272</v>
      </c>
      <c r="L1543" t="s">
        <v>273</v>
      </c>
      <c r="M1543">
        <v>904872</v>
      </c>
    </row>
    <row r="1544" spans="1:13" ht="15">
      <c r="A1544" s="4">
        <v>201407</v>
      </c>
      <c r="B1544" t="s">
        <v>270</v>
      </c>
      <c r="C1544" s="5">
        <v>6542995</v>
      </c>
      <c r="D1544" s="2" t="s">
        <v>967</v>
      </c>
      <c r="E1544" s="2" t="s">
        <v>15</v>
      </c>
      <c r="F1544" s="3">
        <v>70.31</v>
      </c>
      <c r="G1544" t="s">
        <v>73</v>
      </c>
      <c r="H1544" s="1" t="s">
        <v>46</v>
      </c>
      <c r="I1544" t="s">
        <v>75</v>
      </c>
      <c r="J1544" t="s">
        <v>271</v>
      </c>
      <c r="K1544" t="s">
        <v>272</v>
      </c>
      <c r="L1544" t="s">
        <v>273</v>
      </c>
      <c r="M1544">
        <v>908282</v>
      </c>
    </row>
    <row r="1545" spans="1:12" ht="15">
      <c r="A1545" s="4">
        <v>201404</v>
      </c>
      <c r="B1545" t="s">
        <v>270</v>
      </c>
      <c r="C1545" s="5">
        <v>6543040</v>
      </c>
      <c r="D1545" s="2" t="s">
        <v>968</v>
      </c>
      <c r="E1545" s="2" t="s">
        <v>15</v>
      </c>
      <c r="F1545" s="3">
        <v>0.3</v>
      </c>
      <c r="H1545" s="1" t="s">
        <v>66</v>
      </c>
      <c r="I1545" t="s">
        <v>67</v>
      </c>
      <c r="J1545" t="s">
        <v>271</v>
      </c>
      <c r="K1545" t="s">
        <v>272</v>
      </c>
      <c r="L1545" t="s">
        <v>273</v>
      </c>
    </row>
    <row r="1546" spans="1:12" ht="15">
      <c r="A1546" s="4">
        <v>201403</v>
      </c>
      <c r="B1546" t="s">
        <v>270</v>
      </c>
      <c r="C1546" s="5">
        <v>6543175</v>
      </c>
      <c r="D1546" s="2" t="s">
        <v>969</v>
      </c>
      <c r="E1546" s="2" t="s">
        <v>15</v>
      </c>
      <c r="F1546" s="3">
        <v>4.67</v>
      </c>
      <c r="H1546" s="1" t="s">
        <v>66</v>
      </c>
      <c r="I1546" t="s">
        <v>67</v>
      </c>
      <c r="J1546" t="s">
        <v>271</v>
      </c>
      <c r="K1546" t="s">
        <v>272</v>
      </c>
      <c r="L1546" t="s">
        <v>273</v>
      </c>
    </row>
    <row r="1547" spans="1:12" ht="15">
      <c r="A1547" s="4">
        <v>201403</v>
      </c>
      <c r="B1547" t="s">
        <v>270</v>
      </c>
      <c r="C1547" s="5">
        <v>6543175</v>
      </c>
      <c r="D1547" s="2" t="s">
        <v>969</v>
      </c>
      <c r="E1547" s="2" t="s">
        <v>15</v>
      </c>
      <c r="F1547" s="3">
        <v>0</v>
      </c>
      <c r="H1547" s="1" t="s">
        <v>68</v>
      </c>
      <c r="J1547" t="s">
        <v>271</v>
      </c>
      <c r="K1547" t="s">
        <v>272</v>
      </c>
      <c r="L1547" t="s">
        <v>273</v>
      </c>
    </row>
    <row r="1548" spans="1:12" ht="15">
      <c r="A1548" s="4">
        <v>201403</v>
      </c>
      <c r="B1548" t="s">
        <v>270</v>
      </c>
      <c r="C1548" s="5">
        <v>6543175</v>
      </c>
      <c r="D1548" s="2" t="s">
        <v>969</v>
      </c>
      <c r="E1548" s="2" t="s">
        <v>15</v>
      </c>
      <c r="F1548" s="3">
        <v>0</v>
      </c>
      <c r="H1548" s="1" t="s">
        <v>68</v>
      </c>
      <c r="J1548" t="s">
        <v>271</v>
      </c>
      <c r="K1548" t="s">
        <v>272</v>
      </c>
      <c r="L1548" t="s">
        <v>273</v>
      </c>
    </row>
    <row r="1549" spans="1:12" ht="15">
      <c r="A1549" s="4">
        <v>201403</v>
      </c>
      <c r="B1549" t="s">
        <v>270</v>
      </c>
      <c r="C1549" s="5">
        <v>6543175</v>
      </c>
      <c r="D1549" s="2" t="s">
        <v>969</v>
      </c>
      <c r="E1549" s="2" t="s">
        <v>15</v>
      </c>
      <c r="F1549" s="3">
        <v>0</v>
      </c>
      <c r="H1549" s="1" t="s">
        <v>68</v>
      </c>
      <c r="J1549" t="s">
        <v>271</v>
      </c>
      <c r="K1549" t="s">
        <v>272</v>
      </c>
      <c r="L1549" t="s">
        <v>273</v>
      </c>
    </row>
    <row r="1550" spans="1:12" ht="15">
      <c r="A1550" s="4">
        <v>201403</v>
      </c>
      <c r="B1550" t="s">
        <v>270</v>
      </c>
      <c r="C1550" s="5">
        <v>6543175</v>
      </c>
      <c r="D1550" s="2" t="s">
        <v>969</v>
      </c>
      <c r="E1550" s="2" t="s">
        <v>15</v>
      </c>
      <c r="F1550" s="3">
        <v>0</v>
      </c>
      <c r="H1550" s="1" t="s">
        <v>68</v>
      </c>
      <c r="J1550" t="s">
        <v>271</v>
      </c>
      <c r="K1550" t="s">
        <v>272</v>
      </c>
      <c r="L1550" t="s">
        <v>273</v>
      </c>
    </row>
    <row r="1551" spans="1:12" ht="15">
      <c r="A1551" s="4">
        <v>201403</v>
      </c>
      <c r="B1551" t="s">
        <v>270</v>
      </c>
      <c r="C1551" s="5">
        <v>6543175</v>
      </c>
      <c r="D1551" s="2" t="s">
        <v>969</v>
      </c>
      <c r="E1551" s="2" t="s">
        <v>15</v>
      </c>
      <c r="F1551" s="3">
        <v>24</v>
      </c>
      <c r="H1551" s="1" t="s">
        <v>68</v>
      </c>
      <c r="J1551" t="s">
        <v>271</v>
      </c>
      <c r="K1551" t="s">
        <v>272</v>
      </c>
      <c r="L1551" t="s">
        <v>273</v>
      </c>
    </row>
    <row r="1552" spans="1:13" ht="15">
      <c r="A1552" s="4">
        <v>201403</v>
      </c>
      <c r="B1552" t="s">
        <v>270</v>
      </c>
      <c r="C1552" s="5">
        <v>6544359</v>
      </c>
      <c r="D1552" s="2" t="s">
        <v>971</v>
      </c>
      <c r="E1552" s="2" t="s">
        <v>15</v>
      </c>
      <c r="F1552" s="3">
        <v>4875</v>
      </c>
      <c r="G1552" t="s">
        <v>294</v>
      </c>
      <c r="H1552" s="1" t="s">
        <v>44</v>
      </c>
      <c r="I1552" t="s">
        <v>970</v>
      </c>
      <c r="J1552" t="s">
        <v>271</v>
      </c>
      <c r="K1552" t="s">
        <v>272</v>
      </c>
      <c r="L1552" t="s">
        <v>273</v>
      </c>
      <c r="M1552">
        <v>901175</v>
      </c>
    </row>
    <row r="1553" spans="1:13" ht="15">
      <c r="A1553" s="4">
        <v>201406</v>
      </c>
      <c r="B1553" t="s">
        <v>270</v>
      </c>
      <c r="C1553" s="5">
        <v>6544359</v>
      </c>
      <c r="D1553" s="2" t="s">
        <v>971</v>
      </c>
      <c r="E1553" s="2" t="s">
        <v>15</v>
      </c>
      <c r="F1553" s="3">
        <v>19566.18</v>
      </c>
      <c r="G1553" t="s">
        <v>294</v>
      </c>
      <c r="H1553" s="1" t="s">
        <v>44</v>
      </c>
      <c r="I1553" t="s">
        <v>972</v>
      </c>
      <c r="J1553" t="s">
        <v>271</v>
      </c>
      <c r="K1553" t="s">
        <v>272</v>
      </c>
      <c r="L1553" t="s">
        <v>273</v>
      </c>
      <c r="M1553">
        <v>906310</v>
      </c>
    </row>
    <row r="1554" spans="1:12" ht="15">
      <c r="A1554" s="4">
        <v>201404</v>
      </c>
      <c r="B1554" t="s">
        <v>270</v>
      </c>
      <c r="C1554" s="5">
        <v>6544541</v>
      </c>
      <c r="D1554" s="2" t="s">
        <v>974</v>
      </c>
      <c r="E1554" s="2" t="s">
        <v>15</v>
      </c>
      <c r="F1554" s="3">
        <v>-1672.8</v>
      </c>
      <c r="H1554" s="1" t="s">
        <v>330</v>
      </c>
      <c r="I1554" t="s">
        <v>973</v>
      </c>
      <c r="J1554" t="s">
        <v>271</v>
      </c>
      <c r="K1554" t="s">
        <v>272</v>
      </c>
      <c r="L1554" t="s">
        <v>273</v>
      </c>
    </row>
    <row r="1555" spans="1:12" ht="15">
      <c r="A1555" s="4">
        <v>201402</v>
      </c>
      <c r="B1555" t="s">
        <v>270</v>
      </c>
      <c r="C1555" s="5">
        <v>6544541</v>
      </c>
      <c r="D1555" s="2" t="s">
        <v>974</v>
      </c>
      <c r="E1555" s="2" t="s">
        <v>15</v>
      </c>
      <c r="F1555" s="3">
        <v>7.5</v>
      </c>
      <c r="H1555" s="1" t="s">
        <v>14</v>
      </c>
      <c r="I1555" t="s">
        <v>975</v>
      </c>
      <c r="J1555" t="s">
        <v>271</v>
      </c>
      <c r="K1555" t="s">
        <v>272</v>
      </c>
      <c r="L1555" t="s">
        <v>273</v>
      </c>
    </row>
    <row r="1556" spans="1:12" ht="15">
      <c r="A1556" s="4">
        <v>201402</v>
      </c>
      <c r="B1556" t="s">
        <v>270</v>
      </c>
      <c r="C1556" s="5">
        <v>6544541</v>
      </c>
      <c r="D1556" s="2" t="s">
        <v>974</v>
      </c>
      <c r="E1556" s="2" t="s">
        <v>15</v>
      </c>
      <c r="F1556" s="3">
        <v>8.95</v>
      </c>
      <c r="H1556" s="1" t="s">
        <v>14</v>
      </c>
      <c r="I1556" t="s">
        <v>495</v>
      </c>
      <c r="J1556" t="s">
        <v>271</v>
      </c>
      <c r="K1556" t="s">
        <v>272</v>
      </c>
      <c r="L1556" t="s">
        <v>273</v>
      </c>
    </row>
    <row r="1557" spans="1:12" ht="15">
      <c r="A1557" s="4">
        <v>201403</v>
      </c>
      <c r="B1557" t="s">
        <v>270</v>
      </c>
      <c r="C1557" s="5">
        <v>6544541</v>
      </c>
      <c r="D1557" s="2" t="s">
        <v>974</v>
      </c>
      <c r="E1557" s="2" t="s">
        <v>15</v>
      </c>
      <c r="F1557" s="3">
        <v>9.25</v>
      </c>
      <c r="H1557" s="1" t="s">
        <v>14</v>
      </c>
      <c r="I1557" t="s">
        <v>30</v>
      </c>
      <c r="J1557" t="s">
        <v>271</v>
      </c>
      <c r="K1557" t="s">
        <v>272</v>
      </c>
      <c r="L1557" t="s">
        <v>273</v>
      </c>
    </row>
    <row r="1558" spans="1:12" ht="15">
      <c r="A1558" s="4">
        <v>201403</v>
      </c>
      <c r="B1558" t="s">
        <v>270</v>
      </c>
      <c r="C1558" s="5">
        <v>6544541</v>
      </c>
      <c r="D1558" s="2" t="s">
        <v>974</v>
      </c>
      <c r="E1558" s="2" t="s">
        <v>15</v>
      </c>
      <c r="F1558" s="3">
        <v>16.4</v>
      </c>
      <c r="H1558" s="1" t="s">
        <v>14</v>
      </c>
      <c r="I1558" t="s">
        <v>960</v>
      </c>
      <c r="J1558" t="s">
        <v>271</v>
      </c>
      <c r="K1558" t="s">
        <v>272</v>
      </c>
      <c r="L1558" t="s">
        <v>273</v>
      </c>
    </row>
    <row r="1559" spans="1:12" ht="15">
      <c r="A1559" s="4">
        <v>201403</v>
      </c>
      <c r="B1559" t="s">
        <v>270</v>
      </c>
      <c r="C1559" s="5">
        <v>6544541</v>
      </c>
      <c r="D1559" s="2" t="s">
        <v>974</v>
      </c>
      <c r="E1559" s="2" t="s">
        <v>15</v>
      </c>
      <c r="F1559" s="3">
        <v>5018.4</v>
      </c>
      <c r="H1559" s="1" t="s">
        <v>14</v>
      </c>
      <c r="I1559" t="s">
        <v>973</v>
      </c>
      <c r="J1559" t="s">
        <v>271</v>
      </c>
      <c r="K1559" t="s">
        <v>272</v>
      </c>
      <c r="L1559" t="s">
        <v>273</v>
      </c>
    </row>
    <row r="1560" spans="1:13" ht="15">
      <c r="A1560" s="4">
        <v>201404</v>
      </c>
      <c r="B1560" t="s">
        <v>270</v>
      </c>
      <c r="C1560" s="5">
        <v>6544965</v>
      </c>
      <c r="D1560" s="2" t="s">
        <v>976</v>
      </c>
      <c r="E1560" s="2" t="s">
        <v>15</v>
      </c>
      <c r="F1560" s="3">
        <v>0</v>
      </c>
      <c r="G1560" t="s">
        <v>72</v>
      </c>
      <c r="H1560" s="1" t="s">
        <v>44</v>
      </c>
      <c r="I1560" t="e">
        <f>-labor FOR High Energy Piping Repairs not covered by PO issued by Generation ENGINEERING (Hamit Afiyet)</f>
        <v>#NAME?</v>
      </c>
      <c r="J1560" t="s">
        <v>271</v>
      </c>
      <c r="K1560" t="s">
        <v>272</v>
      </c>
      <c r="L1560" t="s">
        <v>273</v>
      </c>
      <c r="M1560">
        <v>901113</v>
      </c>
    </row>
    <row r="1561" spans="1:13" ht="15">
      <c r="A1561" s="4">
        <v>201404</v>
      </c>
      <c r="B1561" t="s">
        <v>270</v>
      </c>
      <c r="C1561" s="5">
        <v>6544965</v>
      </c>
      <c r="D1561" s="2" t="s">
        <v>976</v>
      </c>
      <c r="E1561" s="2" t="s">
        <v>15</v>
      </c>
      <c r="F1561" s="3">
        <v>4058</v>
      </c>
      <c r="G1561" t="s">
        <v>686</v>
      </c>
      <c r="H1561" s="1" t="s">
        <v>44</v>
      </c>
      <c r="I1561" t="e">
        <f>-labor/MATERIAL-work TO COVER Pre and post weld HEAT treat of TC2 Hot Reheat weld REPAIR work</f>
        <v>#NAME?</v>
      </c>
      <c r="J1561" t="s">
        <v>271</v>
      </c>
      <c r="K1561" t="s">
        <v>272</v>
      </c>
      <c r="L1561" t="s">
        <v>273</v>
      </c>
      <c r="M1561">
        <v>900620</v>
      </c>
    </row>
    <row r="1562" spans="1:13" ht="15">
      <c r="A1562" s="4">
        <v>201404</v>
      </c>
      <c r="B1562" t="s">
        <v>270</v>
      </c>
      <c r="C1562" s="5">
        <v>6544965</v>
      </c>
      <c r="D1562" s="2" t="s">
        <v>976</v>
      </c>
      <c r="E1562" s="2" t="s">
        <v>15</v>
      </c>
      <c r="F1562" s="3">
        <v>13000</v>
      </c>
      <c r="G1562" t="s">
        <v>72</v>
      </c>
      <c r="H1562" s="1" t="s">
        <v>44</v>
      </c>
      <c r="I1562" t="e">
        <f>-labor FOR High Energy Piping Repairs not covered by PO issued by Generation ENGINEERING (Hamit Afiyet)</f>
        <v>#NAME?</v>
      </c>
      <c r="J1562" t="s">
        <v>271</v>
      </c>
      <c r="K1562" t="s">
        <v>272</v>
      </c>
      <c r="L1562" t="s">
        <v>273</v>
      </c>
      <c r="M1562">
        <v>901113</v>
      </c>
    </row>
    <row r="1563" spans="1:13" ht="15">
      <c r="A1563" s="4">
        <v>201405</v>
      </c>
      <c r="B1563" t="s">
        <v>270</v>
      </c>
      <c r="C1563" s="5">
        <v>6544965</v>
      </c>
      <c r="D1563" s="2" t="s">
        <v>976</v>
      </c>
      <c r="E1563" s="2" t="s">
        <v>15</v>
      </c>
      <c r="F1563" s="3">
        <v>14562.44</v>
      </c>
      <c r="G1563" t="s">
        <v>72</v>
      </c>
      <c r="H1563" s="1" t="s">
        <v>44</v>
      </c>
      <c r="I1563" t="e">
        <f>-labor FOR High Energy Piping Repairs not covered by PO issued by Generation ENGINEERING (Hamit Afiyet)</f>
        <v>#NAME?</v>
      </c>
      <c r="J1563" t="s">
        <v>271</v>
      </c>
      <c r="K1563" t="s">
        <v>272</v>
      </c>
      <c r="L1563" t="s">
        <v>273</v>
      </c>
      <c r="M1563">
        <v>901113</v>
      </c>
    </row>
    <row r="1564" spans="1:13" ht="15">
      <c r="A1564" s="4">
        <v>201405</v>
      </c>
      <c r="B1564" t="s">
        <v>270</v>
      </c>
      <c r="C1564" s="5">
        <v>6544965</v>
      </c>
      <c r="D1564" s="2" t="s">
        <v>976</v>
      </c>
      <c r="E1564" s="2" t="s">
        <v>15</v>
      </c>
      <c r="F1564" s="3">
        <v>832.55</v>
      </c>
      <c r="G1564" t="s">
        <v>72</v>
      </c>
      <c r="H1564" s="1" t="s">
        <v>78</v>
      </c>
      <c r="I1564" t="e">
        <f>-MATERIAL-TC2 HEP REPAIR work-MATERIAL</f>
        <v>#NAME?</v>
      </c>
      <c r="J1564" t="s">
        <v>271</v>
      </c>
      <c r="K1564" t="s">
        <v>272</v>
      </c>
      <c r="L1564" t="s">
        <v>273</v>
      </c>
      <c r="M1564">
        <v>905778</v>
      </c>
    </row>
    <row r="1565" spans="1:13" ht="15">
      <c r="A1565" s="4">
        <v>201405</v>
      </c>
      <c r="B1565" t="s">
        <v>270</v>
      </c>
      <c r="C1565" s="5">
        <v>6544965</v>
      </c>
      <c r="D1565" s="2" t="s">
        <v>976</v>
      </c>
      <c r="E1565" s="2" t="s">
        <v>15</v>
      </c>
      <c r="F1565" s="3">
        <v>5845.45</v>
      </c>
      <c r="G1565" t="s">
        <v>73</v>
      </c>
      <c r="H1565" s="1" t="s">
        <v>46</v>
      </c>
      <c r="I1565" t="s">
        <v>95</v>
      </c>
      <c r="J1565" t="s">
        <v>271</v>
      </c>
      <c r="K1565" t="s">
        <v>272</v>
      </c>
      <c r="L1565" t="s">
        <v>273</v>
      </c>
      <c r="M1565">
        <v>904872</v>
      </c>
    </row>
    <row r="1566" spans="1:14" ht="15">
      <c r="A1566" s="4">
        <v>201405</v>
      </c>
      <c r="B1566" t="s">
        <v>270</v>
      </c>
      <c r="C1566" s="5">
        <v>6544965</v>
      </c>
      <c r="D1566" s="2" t="s">
        <v>976</v>
      </c>
      <c r="E1566" s="2" t="s">
        <v>15</v>
      </c>
      <c r="F1566" s="3">
        <v>40.38</v>
      </c>
      <c r="G1566" t="s">
        <v>57</v>
      </c>
      <c r="H1566" s="1" t="s">
        <v>60</v>
      </c>
      <c r="I1566">
        <f>-16550/43750/1</f>
        <v>-0.3782857142857143</v>
      </c>
      <c r="J1566" t="s">
        <v>271</v>
      </c>
      <c r="K1566" t="s">
        <v>272</v>
      </c>
      <c r="L1566" t="s">
        <v>273</v>
      </c>
      <c r="N1566" t="s">
        <v>58</v>
      </c>
    </row>
    <row r="1567" spans="1:13" ht="15">
      <c r="A1567" s="4">
        <v>201405</v>
      </c>
      <c r="B1567" t="s">
        <v>270</v>
      </c>
      <c r="C1567" s="5">
        <v>6544965</v>
      </c>
      <c r="D1567" s="2" t="s">
        <v>976</v>
      </c>
      <c r="E1567" s="2" t="s">
        <v>15</v>
      </c>
      <c r="F1567" s="3">
        <v>673</v>
      </c>
      <c r="G1567" t="s">
        <v>77</v>
      </c>
      <c r="H1567" s="1" t="s">
        <v>60</v>
      </c>
      <c r="I1567" t="e">
        <f>-I-BEAM with stiffener Plates shipped loose and needed hardware with primer coat</f>
        <v>#NAME?</v>
      </c>
      <c r="J1567" t="s">
        <v>271</v>
      </c>
      <c r="K1567" t="s">
        <v>272</v>
      </c>
      <c r="L1567" t="s">
        <v>273</v>
      </c>
      <c r="M1567">
        <v>902711</v>
      </c>
    </row>
    <row r="1568" spans="1:12" ht="15">
      <c r="A1568" s="4">
        <v>201404</v>
      </c>
      <c r="B1568" t="s">
        <v>270</v>
      </c>
      <c r="C1568" s="5">
        <v>6545135</v>
      </c>
      <c r="D1568" s="2" t="s">
        <v>977</v>
      </c>
      <c r="E1568" s="2" t="s">
        <v>15</v>
      </c>
      <c r="F1568" s="3">
        <v>894.54</v>
      </c>
      <c r="G1568" t="s">
        <v>83</v>
      </c>
      <c r="H1568" s="1" t="s">
        <v>69</v>
      </c>
      <c r="I1568" t="e">
        <f>-freight FOR idler wheel ASSEMBLY at Trimble</f>
        <v>#NAME?</v>
      </c>
      <c r="J1568" t="s">
        <v>271</v>
      </c>
      <c r="K1568" t="s">
        <v>272</v>
      </c>
      <c r="L1568" t="s">
        <v>273</v>
      </c>
    </row>
    <row r="1569" spans="1:12" ht="15">
      <c r="A1569" s="4">
        <v>201403</v>
      </c>
      <c r="B1569" t="s">
        <v>270</v>
      </c>
      <c r="C1569" s="5">
        <v>6546799</v>
      </c>
      <c r="D1569" s="2" t="s">
        <v>979</v>
      </c>
      <c r="E1569" s="2" t="s">
        <v>15</v>
      </c>
      <c r="F1569" s="3">
        <v>18.35</v>
      </c>
      <c r="H1569" s="1" t="s">
        <v>14</v>
      </c>
      <c r="I1569" t="s">
        <v>978</v>
      </c>
      <c r="J1569" t="s">
        <v>271</v>
      </c>
      <c r="K1569" t="s">
        <v>272</v>
      </c>
      <c r="L1569" t="s">
        <v>273</v>
      </c>
    </row>
    <row r="1570" spans="1:12" ht="15">
      <c r="A1570" s="4">
        <v>201403</v>
      </c>
      <c r="B1570" t="s">
        <v>270</v>
      </c>
      <c r="C1570" s="5">
        <v>6546799</v>
      </c>
      <c r="D1570" s="2" t="s">
        <v>979</v>
      </c>
      <c r="E1570" s="2" t="s">
        <v>15</v>
      </c>
      <c r="F1570" s="3">
        <v>29</v>
      </c>
      <c r="H1570" s="1" t="s">
        <v>14</v>
      </c>
      <c r="I1570" t="s">
        <v>335</v>
      </c>
      <c r="J1570" t="s">
        <v>271</v>
      </c>
      <c r="K1570" t="s">
        <v>272</v>
      </c>
      <c r="L1570" t="s">
        <v>273</v>
      </c>
    </row>
    <row r="1571" spans="1:12" ht="15">
      <c r="A1571" s="4">
        <v>201403</v>
      </c>
      <c r="B1571" t="s">
        <v>270</v>
      </c>
      <c r="C1571" s="5">
        <v>6546799</v>
      </c>
      <c r="D1571" s="2" t="s">
        <v>979</v>
      </c>
      <c r="E1571" s="2" t="s">
        <v>15</v>
      </c>
      <c r="F1571" s="3">
        <v>35.27</v>
      </c>
      <c r="H1571" s="1" t="s">
        <v>14</v>
      </c>
      <c r="I1571" t="s">
        <v>514</v>
      </c>
      <c r="J1571" t="s">
        <v>271</v>
      </c>
      <c r="K1571" t="s">
        <v>272</v>
      </c>
      <c r="L1571" t="s">
        <v>273</v>
      </c>
    </row>
    <row r="1572" spans="1:12" ht="15">
      <c r="A1572" s="4">
        <v>201403</v>
      </c>
      <c r="B1572" t="s">
        <v>270</v>
      </c>
      <c r="C1572" s="5">
        <v>6546799</v>
      </c>
      <c r="D1572" s="2" t="s">
        <v>979</v>
      </c>
      <c r="E1572" s="2" t="s">
        <v>15</v>
      </c>
      <c r="F1572" s="3">
        <v>43.14</v>
      </c>
      <c r="H1572" s="1" t="s">
        <v>14</v>
      </c>
      <c r="I1572" t="s">
        <v>259</v>
      </c>
      <c r="J1572" t="s">
        <v>271</v>
      </c>
      <c r="K1572" t="s">
        <v>272</v>
      </c>
      <c r="L1572" t="s">
        <v>273</v>
      </c>
    </row>
    <row r="1573" spans="1:12" ht="15">
      <c r="A1573" s="4">
        <v>201403</v>
      </c>
      <c r="B1573" t="s">
        <v>270</v>
      </c>
      <c r="C1573" s="5">
        <v>6546799</v>
      </c>
      <c r="D1573" s="2" t="s">
        <v>979</v>
      </c>
      <c r="E1573" s="2" t="s">
        <v>15</v>
      </c>
      <c r="F1573" s="3">
        <v>3940</v>
      </c>
      <c r="H1573" s="1" t="s">
        <v>14</v>
      </c>
      <c r="I1573" t="s">
        <v>980</v>
      </c>
      <c r="J1573" t="s">
        <v>271</v>
      </c>
      <c r="K1573" t="s">
        <v>272</v>
      </c>
      <c r="L1573" t="s">
        <v>273</v>
      </c>
    </row>
    <row r="1574" spans="1:12" ht="15">
      <c r="A1574" s="4">
        <v>201403</v>
      </c>
      <c r="B1574" t="s">
        <v>270</v>
      </c>
      <c r="C1574" s="5">
        <v>6546799</v>
      </c>
      <c r="D1574" s="2" t="s">
        <v>979</v>
      </c>
      <c r="E1574" s="2" t="s">
        <v>15</v>
      </c>
      <c r="F1574" s="3">
        <v>9784.32</v>
      </c>
      <c r="H1574" s="1" t="s">
        <v>14</v>
      </c>
      <c r="I1574" t="s">
        <v>981</v>
      </c>
      <c r="J1574" t="s">
        <v>271</v>
      </c>
      <c r="K1574" t="s">
        <v>272</v>
      </c>
      <c r="L1574" t="s">
        <v>273</v>
      </c>
    </row>
    <row r="1575" spans="1:12" ht="15">
      <c r="A1575" s="4">
        <v>201403</v>
      </c>
      <c r="B1575" t="s">
        <v>270</v>
      </c>
      <c r="C1575" s="5">
        <v>6546799</v>
      </c>
      <c r="D1575" s="2" t="s">
        <v>979</v>
      </c>
      <c r="E1575" s="2" t="s">
        <v>15</v>
      </c>
      <c r="F1575" s="3">
        <v>49762.35</v>
      </c>
      <c r="H1575" s="1" t="s">
        <v>14</v>
      </c>
      <c r="I1575" t="s">
        <v>982</v>
      </c>
      <c r="J1575" t="s">
        <v>271</v>
      </c>
      <c r="K1575" t="s">
        <v>272</v>
      </c>
      <c r="L1575" t="s">
        <v>273</v>
      </c>
    </row>
    <row r="1576" spans="1:12" ht="15">
      <c r="A1576" s="4">
        <v>201405</v>
      </c>
      <c r="B1576" t="s">
        <v>270</v>
      </c>
      <c r="C1576" s="5">
        <v>6546799</v>
      </c>
      <c r="D1576" s="2" t="s">
        <v>979</v>
      </c>
      <c r="E1576" s="2" t="s">
        <v>15</v>
      </c>
      <c r="F1576" s="3">
        <v>-3318</v>
      </c>
      <c r="H1576" s="1" t="s">
        <v>43</v>
      </c>
      <c r="I1576" t="s">
        <v>980</v>
      </c>
      <c r="J1576" t="s">
        <v>271</v>
      </c>
      <c r="K1576" t="s">
        <v>272</v>
      </c>
      <c r="L1576" t="s">
        <v>273</v>
      </c>
    </row>
    <row r="1577" spans="1:14" ht="15">
      <c r="A1577" s="4">
        <v>201403</v>
      </c>
      <c r="B1577" t="s">
        <v>270</v>
      </c>
      <c r="C1577" s="5">
        <v>6546799</v>
      </c>
      <c r="D1577" s="2" t="s">
        <v>979</v>
      </c>
      <c r="E1577" s="2" t="s">
        <v>15</v>
      </c>
      <c r="F1577" s="3">
        <v>491.98</v>
      </c>
      <c r="G1577" t="s">
        <v>57</v>
      </c>
      <c r="H1577" s="1" t="s">
        <v>44</v>
      </c>
      <c r="I1577">
        <f>-23996/46786/1</f>
        <v>-0.5128884709101013</v>
      </c>
      <c r="J1577" t="s">
        <v>271</v>
      </c>
      <c r="K1577" t="s">
        <v>272</v>
      </c>
      <c r="L1577" t="s">
        <v>273</v>
      </c>
      <c r="N1577" t="s">
        <v>58</v>
      </c>
    </row>
    <row r="1578" spans="1:13" ht="15">
      <c r="A1578" s="4">
        <v>201403</v>
      </c>
      <c r="B1578" t="s">
        <v>270</v>
      </c>
      <c r="C1578" s="5">
        <v>6546799</v>
      </c>
      <c r="D1578" s="2" t="s">
        <v>979</v>
      </c>
      <c r="E1578" s="2" t="s">
        <v>15</v>
      </c>
      <c r="F1578" s="3">
        <v>8199.6</v>
      </c>
      <c r="G1578" t="s">
        <v>758</v>
      </c>
      <c r="H1578" s="1" t="s">
        <v>44</v>
      </c>
      <c r="I1578" t="e">
        <f>-provide Technical assistance FOR the Replacement of SSC chain on TC2</f>
        <v>#NAME?</v>
      </c>
      <c r="J1578" t="s">
        <v>271</v>
      </c>
      <c r="K1578" t="s">
        <v>272</v>
      </c>
      <c r="L1578" t="s">
        <v>273</v>
      </c>
      <c r="M1578">
        <v>899917</v>
      </c>
    </row>
    <row r="1579" spans="1:13" ht="15">
      <c r="A1579" s="4">
        <v>201404</v>
      </c>
      <c r="B1579" t="s">
        <v>270</v>
      </c>
      <c r="C1579" s="5">
        <v>6546799</v>
      </c>
      <c r="D1579" s="2" t="s">
        <v>979</v>
      </c>
      <c r="E1579" s="2" t="s">
        <v>15</v>
      </c>
      <c r="F1579" s="3">
        <v>18488.6</v>
      </c>
      <c r="G1579" t="s">
        <v>758</v>
      </c>
      <c r="H1579" s="1" t="s">
        <v>44</v>
      </c>
      <c r="I1579" t="e">
        <f>-provide Technical assistance FOR the Replacement of SSC chain on TC2</f>
        <v>#NAME?</v>
      </c>
      <c r="J1579" t="s">
        <v>271</v>
      </c>
      <c r="K1579" t="s">
        <v>272</v>
      </c>
      <c r="L1579" t="s">
        <v>273</v>
      </c>
      <c r="M1579">
        <v>899917</v>
      </c>
    </row>
    <row r="1580" spans="1:13" ht="15">
      <c r="A1580" s="4">
        <v>201405</v>
      </c>
      <c r="B1580" t="s">
        <v>270</v>
      </c>
      <c r="C1580" s="5">
        <v>6546799</v>
      </c>
      <c r="D1580" s="2" t="s">
        <v>979</v>
      </c>
      <c r="E1580" s="2" t="s">
        <v>15</v>
      </c>
      <c r="F1580" s="3">
        <v>2984.82</v>
      </c>
      <c r="G1580" t="s">
        <v>72</v>
      </c>
      <c r="H1580" s="1" t="s">
        <v>44</v>
      </c>
      <c r="I1580" t="e">
        <f>-provide labor TO Replace Submerged Sraper Conveyer chain</f>
        <v>#NAME?</v>
      </c>
      <c r="J1580" t="s">
        <v>271</v>
      </c>
      <c r="K1580" t="s">
        <v>272</v>
      </c>
      <c r="L1580" t="s">
        <v>273</v>
      </c>
      <c r="M1580">
        <v>899916</v>
      </c>
    </row>
    <row r="1581" spans="1:13" ht="15">
      <c r="A1581" s="4">
        <v>201405</v>
      </c>
      <c r="B1581" t="s">
        <v>270</v>
      </c>
      <c r="C1581" s="5">
        <v>6546799</v>
      </c>
      <c r="D1581" s="2" t="s">
        <v>979</v>
      </c>
      <c r="E1581" s="2" t="s">
        <v>15</v>
      </c>
      <c r="F1581" s="3">
        <v>5246.93</v>
      </c>
      <c r="G1581" t="s">
        <v>72</v>
      </c>
      <c r="H1581" s="1" t="s">
        <v>44</v>
      </c>
      <c r="I1581" t="e">
        <f>-provide labor TO Replace Submerged Sraper Conveyer chain</f>
        <v>#NAME?</v>
      </c>
      <c r="J1581" t="s">
        <v>271</v>
      </c>
      <c r="K1581" t="s">
        <v>272</v>
      </c>
      <c r="L1581" t="s">
        <v>273</v>
      </c>
      <c r="M1581">
        <v>899916</v>
      </c>
    </row>
    <row r="1582" spans="1:13" ht="15">
      <c r="A1582" s="4">
        <v>201405</v>
      </c>
      <c r="B1582" t="s">
        <v>270</v>
      </c>
      <c r="C1582" s="5">
        <v>6546799</v>
      </c>
      <c r="D1582" s="2" t="s">
        <v>979</v>
      </c>
      <c r="E1582" s="2" t="s">
        <v>15</v>
      </c>
      <c r="F1582" s="3">
        <v>23289.48</v>
      </c>
      <c r="G1582" t="s">
        <v>72</v>
      </c>
      <c r="H1582" s="1" t="s">
        <v>44</v>
      </c>
      <c r="I1582" t="e">
        <f>-provide labor TO Replace Submerged Sraper Conveyer chain</f>
        <v>#NAME?</v>
      </c>
      <c r="J1582" t="s">
        <v>271</v>
      </c>
      <c r="K1582" t="s">
        <v>272</v>
      </c>
      <c r="L1582" t="s">
        <v>273</v>
      </c>
      <c r="M1582">
        <v>899916</v>
      </c>
    </row>
    <row r="1583" spans="1:12" ht="15">
      <c r="A1583" s="4">
        <v>201405</v>
      </c>
      <c r="B1583" t="s">
        <v>270</v>
      </c>
      <c r="C1583" s="5">
        <v>6547030</v>
      </c>
      <c r="D1583" s="2" t="s">
        <v>983</v>
      </c>
      <c r="E1583" s="2" t="s">
        <v>15</v>
      </c>
      <c r="F1583" s="3">
        <v>72.8</v>
      </c>
      <c r="H1583" s="1" t="s">
        <v>14</v>
      </c>
      <c r="I1583" t="s">
        <v>92</v>
      </c>
      <c r="J1583" t="s">
        <v>271</v>
      </c>
      <c r="K1583" t="s">
        <v>272</v>
      </c>
      <c r="L1583" t="s">
        <v>273</v>
      </c>
    </row>
    <row r="1584" spans="1:14" ht="15">
      <c r="A1584" s="4">
        <v>201406</v>
      </c>
      <c r="B1584" t="s">
        <v>270</v>
      </c>
      <c r="C1584" s="5">
        <v>6547040</v>
      </c>
      <c r="D1584" s="2" t="s">
        <v>984</v>
      </c>
      <c r="E1584" s="2" t="s">
        <v>269</v>
      </c>
      <c r="F1584" s="3">
        <v>345.3</v>
      </c>
      <c r="G1584" t="s">
        <v>57</v>
      </c>
      <c r="H1584" s="1" t="s">
        <v>60</v>
      </c>
      <c r="I1584" t="e">
        <f>-53069/POI018590/1</f>
        <v>#NAME?</v>
      </c>
      <c r="J1584" t="s">
        <v>271</v>
      </c>
      <c r="K1584" t="s">
        <v>272</v>
      </c>
      <c r="L1584" t="s">
        <v>273</v>
      </c>
      <c r="N1584" t="s">
        <v>58</v>
      </c>
    </row>
    <row r="1585" spans="1:13" ht="15">
      <c r="A1585" s="4">
        <v>201406</v>
      </c>
      <c r="B1585" t="s">
        <v>270</v>
      </c>
      <c r="C1585" s="5">
        <v>6547040</v>
      </c>
      <c r="D1585" s="2" t="s">
        <v>984</v>
      </c>
      <c r="E1585" s="2" t="s">
        <v>269</v>
      </c>
      <c r="F1585" s="3">
        <v>5755</v>
      </c>
      <c r="G1585" t="s">
        <v>897</v>
      </c>
      <c r="H1585" s="1" t="s">
        <v>60</v>
      </c>
      <c r="I1585" t="s">
        <v>985</v>
      </c>
      <c r="J1585" t="s">
        <v>271</v>
      </c>
      <c r="K1585" t="s">
        <v>272</v>
      </c>
      <c r="L1585" t="s">
        <v>273</v>
      </c>
      <c r="M1585">
        <v>903159</v>
      </c>
    </row>
    <row r="1586" spans="1:14" ht="15">
      <c r="A1586" s="4">
        <v>201407</v>
      </c>
      <c r="B1586" t="s">
        <v>270</v>
      </c>
      <c r="C1586" s="5">
        <v>6547040</v>
      </c>
      <c r="D1586" s="2" t="s">
        <v>984</v>
      </c>
      <c r="E1586" s="2" t="s">
        <v>269</v>
      </c>
      <c r="F1586" s="3">
        <v>690.6</v>
      </c>
      <c r="G1586" t="s">
        <v>57</v>
      </c>
      <c r="H1586" s="1" t="s">
        <v>60</v>
      </c>
      <c r="I1586" t="e">
        <f>-53069/POI018895/1</f>
        <v>#NAME?</v>
      </c>
      <c r="J1586" t="s">
        <v>271</v>
      </c>
      <c r="K1586" t="s">
        <v>272</v>
      </c>
      <c r="L1586" t="s">
        <v>273</v>
      </c>
      <c r="N1586" t="s">
        <v>58</v>
      </c>
    </row>
    <row r="1587" spans="1:13" ht="15">
      <c r="A1587" s="4">
        <v>201407</v>
      </c>
      <c r="B1587" t="s">
        <v>270</v>
      </c>
      <c r="C1587" s="5">
        <v>6547040</v>
      </c>
      <c r="D1587" s="2" t="s">
        <v>984</v>
      </c>
      <c r="E1587" s="2" t="s">
        <v>269</v>
      </c>
      <c r="F1587" s="3">
        <v>5755</v>
      </c>
      <c r="G1587" t="s">
        <v>897</v>
      </c>
      <c r="H1587" s="1" t="s">
        <v>60</v>
      </c>
      <c r="I1587" t="s">
        <v>986</v>
      </c>
      <c r="J1587" t="s">
        <v>271</v>
      </c>
      <c r="K1587" t="s">
        <v>272</v>
      </c>
      <c r="L1587" t="s">
        <v>273</v>
      </c>
      <c r="M1587">
        <v>904660</v>
      </c>
    </row>
    <row r="1588" spans="1:13" ht="15">
      <c r="A1588" s="4">
        <v>201407</v>
      </c>
      <c r="B1588" t="s">
        <v>270</v>
      </c>
      <c r="C1588" s="5">
        <v>6547040</v>
      </c>
      <c r="D1588" s="2" t="s">
        <v>984</v>
      </c>
      <c r="E1588" s="2" t="s">
        <v>269</v>
      </c>
      <c r="F1588" s="3">
        <v>5755</v>
      </c>
      <c r="G1588" t="s">
        <v>897</v>
      </c>
      <c r="H1588" s="1" t="s">
        <v>60</v>
      </c>
      <c r="I1588" t="s">
        <v>987</v>
      </c>
      <c r="J1588" t="s">
        <v>271</v>
      </c>
      <c r="K1588" t="s">
        <v>272</v>
      </c>
      <c r="L1588" t="s">
        <v>273</v>
      </c>
      <c r="M1588">
        <v>904660</v>
      </c>
    </row>
    <row r="1589" spans="1:12" ht="15">
      <c r="A1589" s="4">
        <v>201403</v>
      </c>
      <c r="B1589" t="s">
        <v>270</v>
      </c>
      <c r="C1589" s="5">
        <v>6547562</v>
      </c>
      <c r="D1589" s="2" t="s">
        <v>988</v>
      </c>
      <c r="E1589" s="2" t="s">
        <v>15</v>
      </c>
      <c r="F1589" s="3">
        <v>1.17</v>
      </c>
      <c r="H1589" s="1" t="s">
        <v>14</v>
      </c>
      <c r="I1589" t="s">
        <v>363</v>
      </c>
      <c r="J1589" t="s">
        <v>271</v>
      </c>
      <c r="K1589" t="s">
        <v>272</v>
      </c>
      <c r="L1589" t="s">
        <v>273</v>
      </c>
    </row>
    <row r="1590" spans="1:12" ht="15">
      <c r="A1590" s="4">
        <v>201403</v>
      </c>
      <c r="B1590" t="s">
        <v>270</v>
      </c>
      <c r="C1590" s="5">
        <v>6547562</v>
      </c>
      <c r="D1590" s="2" t="s">
        <v>988</v>
      </c>
      <c r="E1590" s="2" t="s">
        <v>15</v>
      </c>
      <c r="F1590" s="3">
        <v>1.92</v>
      </c>
      <c r="H1590" s="1" t="s">
        <v>14</v>
      </c>
      <c r="I1590" t="s">
        <v>84</v>
      </c>
      <c r="J1590" t="s">
        <v>271</v>
      </c>
      <c r="K1590" t="s">
        <v>272</v>
      </c>
      <c r="L1590" t="s">
        <v>273</v>
      </c>
    </row>
    <row r="1591" spans="1:12" ht="15">
      <c r="A1591" s="4">
        <v>201403</v>
      </c>
      <c r="B1591" t="s">
        <v>270</v>
      </c>
      <c r="C1591" s="5">
        <v>6547562</v>
      </c>
      <c r="D1591" s="2" t="s">
        <v>988</v>
      </c>
      <c r="E1591" s="2" t="s">
        <v>15</v>
      </c>
      <c r="F1591" s="3">
        <v>5.16</v>
      </c>
      <c r="H1591" s="1" t="s">
        <v>14</v>
      </c>
      <c r="I1591" t="s">
        <v>375</v>
      </c>
      <c r="J1591" t="s">
        <v>271</v>
      </c>
      <c r="K1591" t="s">
        <v>272</v>
      </c>
      <c r="L1591" t="s">
        <v>273</v>
      </c>
    </row>
    <row r="1592" spans="1:12" ht="15">
      <c r="A1592" s="4">
        <v>201403</v>
      </c>
      <c r="B1592" t="s">
        <v>270</v>
      </c>
      <c r="C1592" s="5">
        <v>6547562</v>
      </c>
      <c r="D1592" s="2" t="s">
        <v>988</v>
      </c>
      <c r="E1592" s="2" t="s">
        <v>15</v>
      </c>
      <c r="F1592" s="3">
        <v>5.21</v>
      </c>
      <c r="H1592" s="1" t="s">
        <v>14</v>
      </c>
      <c r="I1592" t="s">
        <v>989</v>
      </c>
      <c r="J1592" t="s">
        <v>271</v>
      </c>
      <c r="K1592" t="s">
        <v>272</v>
      </c>
      <c r="L1592" t="s">
        <v>273</v>
      </c>
    </row>
    <row r="1593" spans="1:12" ht="15">
      <c r="A1593" s="4">
        <v>201403</v>
      </c>
      <c r="B1593" t="s">
        <v>270</v>
      </c>
      <c r="C1593" s="5">
        <v>6547562</v>
      </c>
      <c r="D1593" s="2" t="s">
        <v>988</v>
      </c>
      <c r="E1593" s="2" t="s">
        <v>15</v>
      </c>
      <c r="F1593" s="3">
        <v>6.75</v>
      </c>
      <c r="H1593" s="1" t="s">
        <v>14</v>
      </c>
      <c r="I1593" t="s">
        <v>395</v>
      </c>
      <c r="J1593" t="s">
        <v>271</v>
      </c>
      <c r="K1593" t="s">
        <v>272</v>
      </c>
      <c r="L1593" t="s">
        <v>273</v>
      </c>
    </row>
    <row r="1594" spans="1:12" ht="15">
      <c r="A1594" s="4">
        <v>201403</v>
      </c>
      <c r="B1594" t="s">
        <v>270</v>
      </c>
      <c r="C1594" s="5">
        <v>6547562</v>
      </c>
      <c r="D1594" s="2" t="s">
        <v>988</v>
      </c>
      <c r="E1594" s="2" t="s">
        <v>15</v>
      </c>
      <c r="F1594" s="3">
        <v>9.25</v>
      </c>
      <c r="H1594" s="1" t="s">
        <v>14</v>
      </c>
      <c r="I1594" t="s">
        <v>30</v>
      </c>
      <c r="J1594" t="s">
        <v>271</v>
      </c>
      <c r="K1594" t="s">
        <v>272</v>
      </c>
      <c r="L1594" t="s">
        <v>273</v>
      </c>
    </row>
    <row r="1595" spans="1:12" ht="15">
      <c r="A1595" s="4">
        <v>201403</v>
      </c>
      <c r="B1595" t="s">
        <v>270</v>
      </c>
      <c r="C1595" s="5">
        <v>6547562</v>
      </c>
      <c r="D1595" s="2" t="s">
        <v>988</v>
      </c>
      <c r="E1595" s="2" t="s">
        <v>15</v>
      </c>
      <c r="F1595" s="3">
        <v>9.86</v>
      </c>
      <c r="H1595" s="1" t="s">
        <v>14</v>
      </c>
      <c r="I1595" t="s">
        <v>626</v>
      </c>
      <c r="J1595" t="s">
        <v>271</v>
      </c>
      <c r="K1595" t="s">
        <v>272</v>
      </c>
      <c r="L1595" t="s">
        <v>273</v>
      </c>
    </row>
    <row r="1596" spans="1:12" ht="15">
      <c r="A1596" s="4">
        <v>201403</v>
      </c>
      <c r="B1596" t="s">
        <v>270</v>
      </c>
      <c r="C1596" s="5">
        <v>6547562</v>
      </c>
      <c r="D1596" s="2" t="s">
        <v>988</v>
      </c>
      <c r="E1596" s="2" t="s">
        <v>15</v>
      </c>
      <c r="F1596" s="3">
        <v>10.38</v>
      </c>
      <c r="H1596" s="1" t="s">
        <v>14</v>
      </c>
      <c r="I1596" t="s">
        <v>319</v>
      </c>
      <c r="J1596" t="s">
        <v>271</v>
      </c>
      <c r="K1596" t="s">
        <v>272</v>
      </c>
      <c r="L1596" t="s">
        <v>273</v>
      </c>
    </row>
    <row r="1597" spans="1:12" ht="15">
      <c r="A1597" s="4">
        <v>201403</v>
      </c>
      <c r="B1597" t="s">
        <v>270</v>
      </c>
      <c r="C1597" s="5">
        <v>6547562</v>
      </c>
      <c r="D1597" s="2" t="s">
        <v>988</v>
      </c>
      <c r="E1597" s="2" t="s">
        <v>15</v>
      </c>
      <c r="F1597" s="3">
        <v>14.5</v>
      </c>
      <c r="H1597" s="1" t="s">
        <v>14</v>
      </c>
      <c r="I1597" t="s">
        <v>335</v>
      </c>
      <c r="J1597" t="s">
        <v>271</v>
      </c>
      <c r="K1597" t="s">
        <v>272</v>
      </c>
      <c r="L1597" t="s">
        <v>273</v>
      </c>
    </row>
    <row r="1598" spans="1:12" ht="15">
      <c r="A1598" s="4">
        <v>201403</v>
      </c>
      <c r="B1598" t="s">
        <v>270</v>
      </c>
      <c r="C1598" s="5">
        <v>6547562</v>
      </c>
      <c r="D1598" s="2" t="s">
        <v>988</v>
      </c>
      <c r="E1598" s="2" t="s">
        <v>15</v>
      </c>
      <c r="F1598" s="3">
        <v>15.46</v>
      </c>
      <c r="H1598" s="1" t="s">
        <v>14</v>
      </c>
      <c r="I1598" t="s">
        <v>35</v>
      </c>
      <c r="J1598" t="s">
        <v>271</v>
      </c>
      <c r="K1598" t="s">
        <v>272</v>
      </c>
      <c r="L1598" t="s">
        <v>273</v>
      </c>
    </row>
    <row r="1599" spans="1:12" ht="15">
      <c r="A1599" s="4">
        <v>201403</v>
      </c>
      <c r="B1599" t="s">
        <v>270</v>
      </c>
      <c r="C1599" s="5">
        <v>6547562</v>
      </c>
      <c r="D1599" s="2" t="s">
        <v>988</v>
      </c>
      <c r="E1599" s="2" t="s">
        <v>15</v>
      </c>
      <c r="F1599" s="3">
        <v>22.4</v>
      </c>
      <c r="H1599" s="1" t="s">
        <v>14</v>
      </c>
      <c r="I1599" t="s">
        <v>990</v>
      </c>
      <c r="J1599" t="s">
        <v>271</v>
      </c>
      <c r="K1599" t="s">
        <v>272</v>
      </c>
      <c r="L1599" t="s">
        <v>273</v>
      </c>
    </row>
    <row r="1600" spans="1:12" ht="15">
      <c r="A1600" s="4">
        <v>201403</v>
      </c>
      <c r="B1600" t="s">
        <v>270</v>
      </c>
      <c r="C1600" s="5">
        <v>6547562</v>
      </c>
      <c r="D1600" s="2" t="s">
        <v>988</v>
      </c>
      <c r="E1600" s="2" t="s">
        <v>15</v>
      </c>
      <c r="F1600" s="3">
        <v>22.99</v>
      </c>
      <c r="H1600" s="1" t="s">
        <v>14</v>
      </c>
      <c r="I1600" t="s">
        <v>520</v>
      </c>
      <c r="J1600" t="s">
        <v>271</v>
      </c>
      <c r="K1600" t="s">
        <v>272</v>
      </c>
      <c r="L1600" t="s">
        <v>273</v>
      </c>
    </row>
    <row r="1601" spans="1:12" ht="15">
      <c r="A1601" s="4">
        <v>201403</v>
      </c>
      <c r="B1601" t="s">
        <v>270</v>
      </c>
      <c r="C1601" s="5">
        <v>6547562</v>
      </c>
      <c r="D1601" s="2" t="s">
        <v>988</v>
      </c>
      <c r="E1601" s="2" t="s">
        <v>15</v>
      </c>
      <c r="F1601" s="3">
        <v>27</v>
      </c>
      <c r="H1601" s="1" t="s">
        <v>14</v>
      </c>
      <c r="I1601" t="s">
        <v>90</v>
      </c>
      <c r="J1601" t="s">
        <v>271</v>
      </c>
      <c r="K1601" t="s">
        <v>272</v>
      </c>
      <c r="L1601" t="s">
        <v>273</v>
      </c>
    </row>
    <row r="1602" spans="1:12" ht="15">
      <c r="A1602" s="4">
        <v>201403</v>
      </c>
      <c r="B1602" t="s">
        <v>270</v>
      </c>
      <c r="C1602" s="5">
        <v>6547562</v>
      </c>
      <c r="D1602" s="2" t="s">
        <v>988</v>
      </c>
      <c r="E1602" s="2" t="s">
        <v>15</v>
      </c>
      <c r="F1602" s="3">
        <v>31.65</v>
      </c>
      <c r="H1602" s="1" t="s">
        <v>14</v>
      </c>
      <c r="I1602" t="s">
        <v>386</v>
      </c>
      <c r="J1602" t="s">
        <v>271</v>
      </c>
      <c r="K1602" t="s">
        <v>272</v>
      </c>
      <c r="L1602" t="s">
        <v>273</v>
      </c>
    </row>
    <row r="1603" spans="1:12" ht="15">
      <c r="A1603" s="4">
        <v>201403</v>
      </c>
      <c r="B1603" t="s">
        <v>270</v>
      </c>
      <c r="C1603" s="5">
        <v>6547562</v>
      </c>
      <c r="D1603" s="2" t="s">
        <v>988</v>
      </c>
      <c r="E1603" s="2" t="s">
        <v>15</v>
      </c>
      <c r="F1603" s="3">
        <v>34.33</v>
      </c>
      <c r="H1603" s="1" t="s">
        <v>14</v>
      </c>
      <c r="I1603" t="s">
        <v>89</v>
      </c>
      <c r="J1603" t="s">
        <v>271</v>
      </c>
      <c r="K1603" t="s">
        <v>272</v>
      </c>
      <c r="L1603" t="s">
        <v>273</v>
      </c>
    </row>
    <row r="1604" spans="1:12" ht="15">
      <c r="A1604" s="4">
        <v>201403</v>
      </c>
      <c r="B1604" t="s">
        <v>270</v>
      </c>
      <c r="C1604" s="5">
        <v>6547562</v>
      </c>
      <c r="D1604" s="2" t="s">
        <v>988</v>
      </c>
      <c r="E1604" s="2" t="s">
        <v>15</v>
      </c>
      <c r="F1604" s="3">
        <v>44</v>
      </c>
      <c r="H1604" s="1" t="s">
        <v>14</v>
      </c>
      <c r="I1604" t="s">
        <v>390</v>
      </c>
      <c r="J1604" t="s">
        <v>271</v>
      </c>
      <c r="K1604" t="s">
        <v>272</v>
      </c>
      <c r="L1604" t="s">
        <v>273</v>
      </c>
    </row>
    <row r="1605" spans="1:12" ht="15">
      <c r="A1605" s="4">
        <v>201403</v>
      </c>
      <c r="B1605" t="s">
        <v>270</v>
      </c>
      <c r="C1605" s="5">
        <v>6547562</v>
      </c>
      <c r="D1605" s="2" t="s">
        <v>988</v>
      </c>
      <c r="E1605" s="2" t="s">
        <v>15</v>
      </c>
      <c r="F1605" s="3">
        <v>45.58</v>
      </c>
      <c r="H1605" s="1" t="s">
        <v>14</v>
      </c>
      <c r="I1605" t="s">
        <v>71</v>
      </c>
      <c r="J1605" t="s">
        <v>271</v>
      </c>
      <c r="K1605" t="s">
        <v>272</v>
      </c>
      <c r="L1605" t="s">
        <v>273</v>
      </c>
    </row>
    <row r="1606" spans="1:12" ht="15">
      <c r="A1606" s="4">
        <v>201403</v>
      </c>
      <c r="B1606" t="s">
        <v>270</v>
      </c>
      <c r="C1606" s="5">
        <v>6547562</v>
      </c>
      <c r="D1606" s="2" t="s">
        <v>988</v>
      </c>
      <c r="E1606" s="2" t="s">
        <v>15</v>
      </c>
      <c r="F1606" s="3">
        <v>60</v>
      </c>
      <c r="H1606" s="1" t="s">
        <v>14</v>
      </c>
      <c r="I1606" t="s">
        <v>991</v>
      </c>
      <c r="J1606" t="s">
        <v>271</v>
      </c>
      <c r="K1606" t="s">
        <v>272</v>
      </c>
      <c r="L1606" t="s">
        <v>273</v>
      </c>
    </row>
    <row r="1607" spans="1:12" ht="15">
      <c r="A1607" s="4">
        <v>201403</v>
      </c>
      <c r="B1607" t="s">
        <v>270</v>
      </c>
      <c r="C1607" s="5">
        <v>6547562</v>
      </c>
      <c r="D1607" s="2" t="s">
        <v>988</v>
      </c>
      <c r="E1607" s="2" t="s">
        <v>15</v>
      </c>
      <c r="F1607" s="3">
        <v>76.29</v>
      </c>
      <c r="H1607" s="1" t="s">
        <v>14</v>
      </c>
      <c r="I1607" t="s">
        <v>992</v>
      </c>
      <c r="J1607" t="s">
        <v>271</v>
      </c>
      <c r="K1607" t="s">
        <v>272</v>
      </c>
      <c r="L1607" t="s">
        <v>273</v>
      </c>
    </row>
    <row r="1608" spans="1:12" ht="15">
      <c r="A1608" s="4">
        <v>201403</v>
      </c>
      <c r="B1608" t="s">
        <v>270</v>
      </c>
      <c r="C1608" s="5">
        <v>6547562</v>
      </c>
      <c r="D1608" s="2" t="s">
        <v>988</v>
      </c>
      <c r="E1608" s="2" t="s">
        <v>15</v>
      </c>
      <c r="F1608" s="3">
        <v>76.98</v>
      </c>
      <c r="H1608" s="1" t="s">
        <v>14</v>
      </c>
      <c r="I1608" t="s">
        <v>263</v>
      </c>
      <c r="J1608" t="s">
        <v>271</v>
      </c>
      <c r="K1608" t="s">
        <v>272</v>
      </c>
      <c r="L1608" t="s">
        <v>273</v>
      </c>
    </row>
    <row r="1609" spans="1:12" ht="15">
      <c r="A1609" s="4">
        <v>201403</v>
      </c>
      <c r="B1609" t="s">
        <v>270</v>
      </c>
      <c r="C1609" s="5">
        <v>6547562</v>
      </c>
      <c r="D1609" s="2" t="s">
        <v>988</v>
      </c>
      <c r="E1609" s="2" t="s">
        <v>15</v>
      </c>
      <c r="F1609" s="3">
        <v>130.56</v>
      </c>
      <c r="H1609" s="1" t="s">
        <v>14</v>
      </c>
      <c r="I1609" t="s">
        <v>387</v>
      </c>
      <c r="J1609" t="s">
        <v>271</v>
      </c>
      <c r="K1609" t="s">
        <v>272</v>
      </c>
      <c r="L1609" t="s">
        <v>273</v>
      </c>
    </row>
    <row r="1610" spans="1:12" ht="15">
      <c r="A1610" s="4">
        <v>201404</v>
      </c>
      <c r="B1610" t="s">
        <v>270</v>
      </c>
      <c r="C1610" s="5">
        <v>6547562</v>
      </c>
      <c r="D1610" s="2" t="s">
        <v>988</v>
      </c>
      <c r="E1610" s="2" t="s">
        <v>15</v>
      </c>
      <c r="F1610" s="3">
        <v>1.05</v>
      </c>
      <c r="H1610" s="1" t="s">
        <v>14</v>
      </c>
      <c r="I1610" t="s">
        <v>302</v>
      </c>
      <c r="J1610" t="s">
        <v>271</v>
      </c>
      <c r="K1610" t="s">
        <v>272</v>
      </c>
      <c r="L1610" t="s">
        <v>273</v>
      </c>
    </row>
    <row r="1611" spans="1:12" ht="15">
      <c r="A1611" s="4">
        <v>201404</v>
      </c>
      <c r="B1611" t="s">
        <v>270</v>
      </c>
      <c r="C1611" s="5">
        <v>6547562</v>
      </c>
      <c r="D1611" s="2" t="s">
        <v>988</v>
      </c>
      <c r="E1611" s="2" t="s">
        <v>15</v>
      </c>
      <c r="F1611" s="3">
        <v>14.5</v>
      </c>
      <c r="H1611" s="1" t="s">
        <v>14</v>
      </c>
      <c r="I1611" t="s">
        <v>335</v>
      </c>
      <c r="J1611" t="s">
        <v>271</v>
      </c>
      <c r="K1611" t="s">
        <v>272</v>
      </c>
      <c r="L1611" t="s">
        <v>273</v>
      </c>
    </row>
    <row r="1612" spans="1:12" ht="15">
      <c r="A1612" s="4">
        <v>201404</v>
      </c>
      <c r="B1612" t="s">
        <v>270</v>
      </c>
      <c r="C1612" s="5">
        <v>6547562</v>
      </c>
      <c r="D1612" s="2" t="s">
        <v>988</v>
      </c>
      <c r="E1612" s="2" t="s">
        <v>15</v>
      </c>
      <c r="F1612" s="3">
        <v>29.6</v>
      </c>
      <c r="H1612" s="1" t="s">
        <v>14</v>
      </c>
      <c r="I1612" t="s">
        <v>993</v>
      </c>
      <c r="J1612" t="s">
        <v>271</v>
      </c>
      <c r="K1612" t="s">
        <v>272</v>
      </c>
      <c r="L1612" t="s">
        <v>273</v>
      </c>
    </row>
    <row r="1613" spans="1:12" ht="15">
      <c r="A1613" s="4">
        <v>201404</v>
      </c>
      <c r="B1613" t="s">
        <v>270</v>
      </c>
      <c r="C1613" s="5">
        <v>6547562</v>
      </c>
      <c r="D1613" s="2" t="s">
        <v>988</v>
      </c>
      <c r="E1613" s="2" t="s">
        <v>15</v>
      </c>
      <c r="F1613" s="3">
        <v>29.84</v>
      </c>
      <c r="H1613" s="1" t="s">
        <v>14</v>
      </c>
      <c r="I1613" t="s">
        <v>994</v>
      </c>
      <c r="J1613" t="s">
        <v>271</v>
      </c>
      <c r="K1613" t="s">
        <v>272</v>
      </c>
      <c r="L1613" t="s">
        <v>273</v>
      </c>
    </row>
    <row r="1614" spans="1:12" ht="15">
      <c r="A1614" s="4">
        <v>201404</v>
      </c>
      <c r="B1614" t="s">
        <v>270</v>
      </c>
      <c r="C1614" s="5">
        <v>6547562</v>
      </c>
      <c r="D1614" s="2" t="s">
        <v>988</v>
      </c>
      <c r="E1614" s="2" t="s">
        <v>15</v>
      </c>
      <c r="F1614" s="3">
        <v>31.13</v>
      </c>
      <c r="H1614" s="1" t="s">
        <v>14</v>
      </c>
      <c r="I1614" t="s">
        <v>319</v>
      </c>
      <c r="J1614" t="s">
        <v>271</v>
      </c>
      <c r="K1614" t="s">
        <v>272</v>
      </c>
      <c r="L1614" t="s">
        <v>273</v>
      </c>
    </row>
    <row r="1615" spans="1:12" ht="15">
      <c r="A1615" s="4">
        <v>201404</v>
      </c>
      <c r="B1615" t="s">
        <v>270</v>
      </c>
      <c r="C1615" s="5">
        <v>6547562</v>
      </c>
      <c r="D1615" s="2" t="s">
        <v>988</v>
      </c>
      <c r="E1615" s="2" t="s">
        <v>15</v>
      </c>
      <c r="F1615" s="3">
        <v>64.35</v>
      </c>
      <c r="H1615" s="1" t="s">
        <v>14</v>
      </c>
      <c r="I1615" t="s">
        <v>313</v>
      </c>
      <c r="J1615" t="s">
        <v>271</v>
      </c>
      <c r="K1615" t="s">
        <v>272</v>
      </c>
      <c r="L1615" t="s">
        <v>273</v>
      </c>
    </row>
    <row r="1616" spans="1:12" ht="15">
      <c r="A1616" s="4">
        <v>201404</v>
      </c>
      <c r="B1616" t="s">
        <v>270</v>
      </c>
      <c r="C1616" s="5">
        <v>6547562</v>
      </c>
      <c r="D1616" s="2" t="s">
        <v>988</v>
      </c>
      <c r="E1616" s="2" t="s">
        <v>15</v>
      </c>
      <c r="F1616" s="3">
        <v>94.52</v>
      </c>
      <c r="H1616" s="1" t="s">
        <v>14</v>
      </c>
      <c r="I1616" t="s">
        <v>108</v>
      </c>
      <c r="J1616" t="s">
        <v>271</v>
      </c>
      <c r="K1616" t="s">
        <v>272</v>
      </c>
      <c r="L1616" t="s">
        <v>273</v>
      </c>
    </row>
    <row r="1617" spans="1:12" ht="15">
      <c r="A1617" s="4">
        <v>201405</v>
      </c>
      <c r="B1617" t="s">
        <v>270</v>
      </c>
      <c r="C1617" s="5">
        <v>6547562</v>
      </c>
      <c r="D1617" s="2" t="s">
        <v>988</v>
      </c>
      <c r="E1617" s="2" t="s">
        <v>15</v>
      </c>
      <c r="F1617" s="3">
        <v>3.44</v>
      </c>
      <c r="H1617" s="1" t="s">
        <v>14</v>
      </c>
      <c r="I1617" t="s">
        <v>19</v>
      </c>
      <c r="J1617" t="s">
        <v>271</v>
      </c>
      <c r="K1617" t="s">
        <v>272</v>
      </c>
      <c r="L1617" t="s">
        <v>273</v>
      </c>
    </row>
    <row r="1618" spans="1:12" ht="15">
      <c r="A1618" s="4">
        <v>201405</v>
      </c>
      <c r="B1618" t="s">
        <v>270</v>
      </c>
      <c r="C1618" s="5">
        <v>6547562</v>
      </c>
      <c r="D1618" s="2" t="s">
        <v>988</v>
      </c>
      <c r="E1618" s="2" t="s">
        <v>15</v>
      </c>
      <c r="F1618" s="3">
        <v>7.75</v>
      </c>
      <c r="H1618" s="1" t="s">
        <v>14</v>
      </c>
      <c r="I1618" t="s">
        <v>36</v>
      </c>
      <c r="J1618" t="s">
        <v>271</v>
      </c>
      <c r="K1618" t="s">
        <v>272</v>
      </c>
      <c r="L1618" t="s">
        <v>273</v>
      </c>
    </row>
    <row r="1619" spans="1:12" ht="15">
      <c r="A1619" s="4">
        <v>201405</v>
      </c>
      <c r="B1619" t="s">
        <v>270</v>
      </c>
      <c r="C1619" s="5">
        <v>6547562</v>
      </c>
      <c r="D1619" s="2" t="s">
        <v>988</v>
      </c>
      <c r="E1619" s="2" t="s">
        <v>15</v>
      </c>
      <c r="F1619" s="3">
        <v>160</v>
      </c>
      <c r="H1619" s="1" t="s">
        <v>14</v>
      </c>
      <c r="I1619" t="s">
        <v>995</v>
      </c>
      <c r="J1619" t="s">
        <v>271</v>
      </c>
      <c r="K1619" t="s">
        <v>272</v>
      </c>
      <c r="L1619" t="s">
        <v>273</v>
      </c>
    </row>
    <row r="1620" spans="1:12" ht="15">
      <c r="A1620" s="4">
        <v>201405</v>
      </c>
      <c r="B1620" t="s">
        <v>270</v>
      </c>
      <c r="C1620" s="5">
        <v>6547562</v>
      </c>
      <c r="D1620" s="2" t="s">
        <v>988</v>
      </c>
      <c r="E1620" s="2" t="s">
        <v>15</v>
      </c>
      <c r="F1620" s="3">
        <v>1797.42</v>
      </c>
      <c r="H1620" s="1" t="s">
        <v>14</v>
      </c>
      <c r="I1620" t="s">
        <v>996</v>
      </c>
      <c r="J1620" t="s">
        <v>271</v>
      </c>
      <c r="K1620" t="s">
        <v>272</v>
      </c>
      <c r="L1620" t="s">
        <v>273</v>
      </c>
    </row>
    <row r="1621" spans="1:13" ht="15">
      <c r="A1621" s="4">
        <v>201404</v>
      </c>
      <c r="B1621" t="s">
        <v>270</v>
      </c>
      <c r="C1621" s="5">
        <v>6547562</v>
      </c>
      <c r="D1621" s="2" t="s">
        <v>988</v>
      </c>
      <c r="E1621" s="2" t="s">
        <v>15</v>
      </c>
      <c r="F1621" s="3">
        <v>1700</v>
      </c>
      <c r="G1621" t="s">
        <v>997</v>
      </c>
      <c r="H1621" s="1" t="s">
        <v>44</v>
      </c>
      <c r="I1621" t="s">
        <v>998</v>
      </c>
      <c r="J1621" t="s">
        <v>271</v>
      </c>
      <c r="K1621" t="s">
        <v>272</v>
      </c>
      <c r="L1621" t="s">
        <v>273</v>
      </c>
      <c r="M1621">
        <v>903519</v>
      </c>
    </row>
    <row r="1622" spans="1:13" ht="15">
      <c r="A1622" s="4">
        <v>201404</v>
      </c>
      <c r="B1622" t="s">
        <v>270</v>
      </c>
      <c r="C1622" s="5">
        <v>6547562</v>
      </c>
      <c r="D1622" s="2" t="s">
        <v>988</v>
      </c>
      <c r="E1622" s="2" t="s">
        <v>15</v>
      </c>
      <c r="F1622" s="3">
        <v>2582.5</v>
      </c>
      <c r="G1622" t="s">
        <v>211</v>
      </c>
      <c r="H1622" s="1" t="s">
        <v>44</v>
      </c>
      <c r="I1622" t="e">
        <f>-labor/MATERIAL-Mistras is doing A dry MAG Test on Fan baldes.</f>
        <v>#NAME?</v>
      </c>
      <c r="J1622" t="s">
        <v>271</v>
      </c>
      <c r="K1622" t="s">
        <v>272</v>
      </c>
      <c r="L1622" t="s">
        <v>273</v>
      </c>
      <c r="M1622">
        <v>902160</v>
      </c>
    </row>
    <row r="1623" spans="1:13" ht="15">
      <c r="A1623" s="4">
        <v>201405</v>
      </c>
      <c r="B1623" t="s">
        <v>270</v>
      </c>
      <c r="C1623" s="5">
        <v>6547562</v>
      </c>
      <c r="D1623" s="2" t="s">
        <v>988</v>
      </c>
      <c r="E1623" s="2" t="s">
        <v>15</v>
      </c>
      <c r="F1623" s="3">
        <v>95157.4</v>
      </c>
      <c r="G1623" t="s">
        <v>897</v>
      </c>
      <c r="H1623" s="1" t="s">
        <v>44</v>
      </c>
      <c r="I1623" t="s">
        <v>999</v>
      </c>
      <c r="J1623" t="s">
        <v>271</v>
      </c>
      <c r="K1623" t="s">
        <v>272</v>
      </c>
      <c r="L1623" t="s">
        <v>273</v>
      </c>
      <c r="M1623">
        <v>903518</v>
      </c>
    </row>
    <row r="1624" spans="1:14" ht="15">
      <c r="A1624" s="4">
        <v>201406</v>
      </c>
      <c r="B1624" t="s">
        <v>270</v>
      </c>
      <c r="C1624" s="5">
        <v>6547562</v>
      </c>
      <c r="D1624" s="2" t="s">
        <v>988</v>
      </c>
      <c r="E1624" s="2" t="s">
        <v>15</v>
      </c>
      <c r="F1624" s="3">
        <v>-102672.87</v>
      </c>
      <c r="G1624" t="s">
        <v>897</v>
      </c>
      <c r="H1624" s="1" t="s">
        <v>44</v>
      </c>
      <c r="I1624" t="s">
        <v>1000</v>
      </c>
      <c r="J1624" t="s">
        <v>271</v>
      </c>
      <c r="K1624" t="s">
        <v>272</v>
      </c>
      <c r="L1624" t="s">
        <v>273</v>
      </c>
      <c r="M1624">
        <v>901093</v>
      </c>
      <c r="N1624" t="s">
        <v>1001</v>
      </c>
    </row>
    <row r="1625" spans="1:14" ht="15">
      <c r="A1625" s="4">
        <v>201406</v>
      </c>
      <c r="B1625" t="s">
        <v>270</v>
      </c>
      <c r="C1625" s="5">
        <v>6547562</v>
      </c>
      <c r="D1625" s="2" t="s">
        <v>988</v>
      </c>
      <c r="E1625" s="2" t="s">
        <v>15</v>
      </c>
      <c r="F1625" s="3">
        <v>-9952.37</v>
      </c>
      <c r="G1625" t="s">
        <v>57</v>
      </c>
      <c r="H1625" s="1" t="s">
        <v>44</v>
      </c>
      <c r="I1625" t="e">
        <f>-53069/POI17969/2</f>
        <v>#NAME?</v>
      </c>
      <c r="J1625" t="s">
        <v>271</v>
      </c>
      <c r="K1625" t="s">
        <v>272</v>
      </c>
      <c r="L1625" t="s">
        <v>273</v>
      </c>
      <c r="N1625" t="s">
        <v>58</v>
      </c>
    </row>
    <row r="1626" spans="1:14" ht="15">
      <c r="A1626" s="4">
        <v>201406</v>
      </c>
      <c r="B1626" t="s">
        <v>270</v>
      </c>
      <c r="C1626" s="5">
        <v>6547562</v>
      </c>
      <c r="D1626" s="2" t="s">
        <v>988</v>
      </c>
      <c r="E1626" s="2" t="s">
        <v>15</v>
      </c>
      <c r="F1626" s="3">
        <v>9952.37</v>
      </c>
      <c r="G1626" t="s">
        <v>57</v>
      </c>
      <c r="H1626" s="1" t="s">
        <v>44</v>
      </c>
      <c r="I1626" t="e">
        <f>-53069/POI17969/1</f>
        <v>#NAME?</v>
      </c>
      <c r="J1626" t="s">
        <v>271</v>
      </c>
      <c r="K1626" t="s">
        <v>272</v>
      </c>
      <c r="L1626" t="s">
        <v>273</v>
      </c>
      <c r="N1626" t="s">
        <v>58</v>
      </c>
    </row>
    <row r="1627" spans="1:13" ht="15">
      <c r="A1627" s="4">
        <v>201406</v>
      </c>
      <c r="B1627" t="s">
        <v>270</v>
      </c>
      <c r="C1627" s="5">
        <v>6547562</v>
      </c>
      <c r="D1627" s="2" t="s">
        <v>988</v>
      </c>
      <c r="E1627" s="2" t="s">
        <v>15</v>
      </c>
      <c r="F1627" s="3">
        <v>102672.87</v>
      </c>
      <c r="G1627" t="s">
        <v>897</v>
      </c>
      <c r="H1627" s="1" t="s">
        <v>44</v>
      </c>
      <c r="I1627" t="s">
        <v>1000</v>
      </c>
      <c r="J1627" t="s">
        <v>271</v>
      </c>
      <c r="K1627" t="s">
        <v>272</v>
      </c>
      <c r="L1627" t="s">
        <v>273</v>
      </c>
      <c r="M1627">
        <v>901093</v>
      </c>
    </row>
    <row r="1628" spans="1:13" ht="15">
      <c r="A1628" s="4">
        <v>201406</v>
      </c>
      <c r="B1628" t="s">
        <v>270</v>
      </c>
      <c r="C1628" s="5">
        <v>6547562</v>
      </c>
      <c r="D1628" s="2" t="s">
        <v>988</v>
      </c>
      <c r="E1628" s="2" t="s">
        <v>15</v>
      </c>
      <c r="F1628" s="3">
        <v>102672.87</v>
      </c>
      <c r="G1628" t="s">
        <v>897</v>
      </c>
      <c r="H1628" s="1" t="s">
        <v>44</v>
      </c>
      <c r="I1628" t="s">
        <v>1000</v>
      </c>
      <c r="J1628" t="s">
        <v>271</v>
      </c>
      <c r="K1628" t="s">
        <v>272</v>
      </c>
      <c r="L1628" t="s">
        <v>273</v>
      </c>
      <c r="M1628">
        <v>901093</v>
      </c>
    </row>
    <row r="1629" spans="1:12" ht="15">
      <c r="A1629" s="4">
        <v>201406</v>
      </c>
      <c r="B1629" t="s">
        <v>270</v>
      </c>
      <c r="C1629" s="5">
        <v>6547562</v>
      </c>
      <c r="D1629" s="2" t="s">
        <v>988</v>
      </c>
      <c r="E1629" s="2" t="s">
        <v>15</v>
      </c>
      <c r="F1629" s="3">
        <v>380629.6</v>
      </c>
      <c r="H1629" s="1" t="s">
        <v>44</v>
      </c>
      <c r="I1629" t="s">
        <v>1002</v>
      </c>
      <c r="J1629" t="s">
        <v>271</v>
      </c>
      <c r="K1629" t="s">
        <v>272</v>
      </c>
      <c r="L1629" t="s">
        <v>273</v>
      </c>
    </row>
    <row r="1630" spans="1:12" ht="15">
      <c r="A1630" s="4">
        <v>201407</v>
      </c>
      <c r="B1630" t="s">
        <v>270</v>
      </c>
      <c r="C1630" s="5">
        <v>6547562</v>
      </c>
      <c r="D1630" s="2" t="s">
        <v>988</v>
      </c>
      <c r="E1630" s="2" t="s">
        <v>15</v>
      </c>
      <c r="F1630" s="3">
        <v>-380629.6</v>
      </c>
      <c r="H1630" s="1" t="s">
        <v>44</v>
      </c>
      <c r="I1630" t="s">
        <v>1002</v>
      </c>
      <c r="J1630" t="s">
        <v>271</v>
      </c>
      <c r="K1630" t="s">
        <v>272</v>
      </c>
      <c r="L1630" t="s">
        <v>273</v>
      </c>
    </row>
    <row r="1631" spans="1:13" ht="15">
      <c r="A1631" s="4">
        <v>201407</v>
      </c>
      <c r="B1631" t="s">
        <v>270</v>
      </c>
      <c r="C1631" s="5">
        <v>6547562</v>
      </c>
      <c r="D1631" s="2" t="s">
        <v>988</v>
      </c>
      <c r="E1631" s="2" t="s">
        <v>15</v>
      </c>
      <c r="F1631" s="3">
        <v>18484</v>
      </c>
      <c r="G1631" t="s">
        <v>897</v>
      </c>
      <c r="H1631" s="1" t="s">
        <v>44</v>
      </c>
      <c r="I1631" t="s">
        <v>1003</v>
      </c>
      <c r="J1631" t="s">
        <v>271</v>
      </c>
      <c r="K1631" t="s">
        <v>272</v>
      </c>
      <c r="L1631" t="s">
        <v>273</v>
      </c>
      <c r="M1631">
        <v>903518</v>
      </c>
    </row>
    <row r="1632" spans="1:13" ht="15">
      <c r="A1632" s="4">
        <v>201407</v>
      </c>
      <c r="B1632" t="s">
        <v>270</v>
      </c>
      <c r="C1632" s="5">
        <v>6547562</v>
      </c>
      <c r="D1632" s="2" t="s">
        <v>988</v>
      </c>
      <c r="E1632" s="2" t="s">
        <v>15</v>
      </c>
      <c r="F1632" s="3">
        <v>77500</v>
      </c>
      <c r="G1632" t="s">
        <v>897</v>
      </c>
      <c r="H1632" s="1" t="s">
        <v>44</v>
      </c>
      <c r="I1632" t="s">
        <v>999</v>
      </c>
      <c r="J1632" t="s">
        <v>271</v>
      </c>
      <c r="K1632" t="s">
        <v>272</v>
      </c>
      <c r="L1632" t="s">
        <v>273</v>
      </c>
      <c r="M1632">
        <v>903518</v>
      </c>
    </row>
    <row r="1633" spans="1:13" ht="15">
      <c r="A1633" s="4">
        <v>201407</v>
      </c>
      <c r="B1633" t="s">
        <v>270</v>
      </c>
      <c r="C1633" s="5">
        <v>6547562</v>
      </c>
      <c r="D1633" s="2" t="s">
        <v>988</v>
      </c>
      <c r="E1633" s="2" t="s">
        <v>15</v>
      </c>
      <c r="F1633" s="3">
        <v>96875</v>
      </c>
      <c r="G1633" t="s">
        <v>897</v>
      </c>
      <c r="H1633" s="1" t="s">
        <v>44</v>
      </c>
      <c r="I1633" t="s">
        <v>1004</v>
      </c>
      <c r="J1633" t="s">
        <v>271</v>
      </c>
      <c r="K1633" t="s">
        <v>272</v>
      </c>
      <c r="L1633" t="s">
        <v>273</v>
      </c>
      <c r="M1633">
        <v>903518</v>
      </c>
    </row>
    <row r="1634" spans="1:13" ht="15">
      <c r="A1634" s="4">
        <v>201407</v>
      </c>
      <c r="B1634" t="s">
        <v>270</v>
      </c>
      <c r="C1634" s="5">
        <v>6547562</v>
      </c>
      <c r="D1634" s="2" t="s">
        <v>988</v>
      </c>
      <c r="E1634" s="2" t="s">
        <v>15</v>
      </c>
      <c r="F1634" s="3">
        <v>174833.4</v>
      </c>
      <c r="G1634" t="s">
        <v>897</v>
      </c>
      <c r="H1634" s="1" t="s">
        <v>44</v>
      </c>
      <c r="I1634" t="s">
        <v>999</v>
      </c>
      <c r="J1634" t="s">
        <v>271</v>
      </c>
      <c r="K1634" t="s">
        <v>272</v>
      </c>
      <c r="L1634" t="s">
        <v>273</v>
      </c>
      <c r="M1634">
        <v>903518</v>
      </c>
    </row>
    <row r="1635" spans="1:14" ht="15">
      <c r="A1635" s="4">
        <v>201411</v>
      </c>
      <c r="B1635" t="s">
        <v>270</v>
      </c>
      <c r="C1635" s="5">
        <v>6547562</v>
      </c>
      <c r="D1635" s="2" t="s">
        <v>988</v>
      </c>
      <c r="E1635" s="2" t="s">
        <v>15</v>
      </c>
      <c r="F1635" s="3">
        <v>887.23</v>
      </c>
      <c r="G1635" t="s">
        <v>57</v>
      </c>
      <c r="H1635" s="1" t="s">
        <v>44</v>
      </c>
      <c r="I1635" t="e">
        <f>-53069/POI019197/1</f>
        <v>#NAME?</v>
      </c>
      <c r="J1635" t="s">
        <v>271</v>
      </c>
      <c r="K1635" t="s">
        <v>272</v>
      </c>
      <c r="L1635" t="s">
        <v>273</v>
      </c>
      <c r="N1635" t="s">
        <v>58</v>
      </c>
    </row>
    <row r="1636" spans="1:13" ht="15">
      <c r="A1636" s="4">
        <v>201411</v>
      </c>
      <c r="B1636" t="s">
        <v>270</v>
      </c>
      <c r="C1636" s="5">
        <v>6547562</v>
      </c>
      <c r="D1636" s="2" t="s">
        <v>988</v>
      </c>
      <c r="E1636" s="2" t="s">
        <v>15</v>
      </c>
      <c r="F1636" s="3">
        <v>14787.2</v>
      </c>
      <c r="G1636" t="s">
        <v>897</v>
      </c>
      <c r="H1636" s="1" t="s">
        <v>44</v>
      </c>
      <c r="I1636" t="s">
        <v>999</v>
      </c>
      <c r="J1636" t="s">
        <v>271</v>
      </c>
      <c r="K1636" t="s">
        <v>272</v>
      </c>
      <c r="L1636" t="s">
        <v>273</v>
      </c>
      <c r="M1636">
        <v>903518</v>
      </c>
    </row>
    <row r="1637" spans="1:13" ht="15">
      <c r="A1637" s="4">
        <v>201404</v>
      </c>
      <c r="B1637" t="s">
        <v>270</v>
      </c>
      <c r="C1637" s="5">
        <v>6547562</v>
      </c>
      <c r="D1637" s="2" t="s">
        <v>988</v>
      </c>
      <c r="E1637" s="2" t="s">
        <v>15</v>
      </c>
      <c r="F1637" s="3">
        <v>1517</v>
      </c>
      <c r="G1637" t="s">
        <v>997</v>
      </c>
      <c r="H1637" s="1" t="s">
        <v>78</v>
      </c>
      <c r="I1637" t="s">
        <v>998</v>
      </c>
      <c r="J1637" t="s">
        <v>271</v>
      </c>
      <c r="K1637" t="s">
        <v>272</v>
      </c>
      <c r="L1637" t="s">
        <v>273</v>
      </c>
      <c r="M1637">
        <v>903519</v>
      </c>
    </row>
    <row r="1638" spans="1:13" ht="15">
      <c r="A1638" s="4">
        <v>201404</v>
      </c>
      <c r="B1638" t="s">
        <v>270</v>
      </c>
      <c r="C1638" s="5">
        <v>6547562</v>
      </c>
      <c r="D1638" s="2" t="s">
        <v>988</v>
      </c>
      <c r="E1638" s="2" t="s">
        <v>15</v>
      </c>
      <c r="F1638" s="3">
        <v>1056.12</v>
      </c>
      <c r="G1638" t="s">
        <v>119</v>
      </c>
      <c r="H1638" s="1" t="s">
        <v>46</v>
      </c>
      <c r="I1638" t="s">
        <v>622</v>
      </c>
      <c r="J1638" t="s">
        <v>271</v>
      </c>
      <c r="K1638" t="s">
        <v>272</v>
      </c>
      <c r="L1638" t="s">
        <v>273</v>
      </c>
      <c r="M1638">
        <v>903807</v>
      </c>
    </row>
    <row r="1639" spans="1:13" ht="15">
      <c r="A1639" s="4">
        <v>201405</v>
      </c>
      <c r="B1639" t="s">
        <v>270</v>
      </c>
      <c r="C1639" s="5">
        <v>6547562</v>
      </c>
      <c r="D1639" s="2" t="s">
        <v>988</v>
      </c>
      <c r="E1639" s="2" t="s">
        <v>15</v>
      </c>
      <c r="F1639" s="3">
        <v>2737.88</v>
      </c>
      <c r="G1639" t="s">
        <v>73</v>
      </c>
      <c r="H1639" s="1" t="s">
        <v>46</v>
      </c>
      <c r="I1639" t="s">
        <v>74</v>
      </c>
      <c r="J1639" t="s">
        <v>271</v>
      </c>
      <c r="K1639" t="s">
        <v>272</v>
      </c>
      <c r="L1639" t="s">
        <v>273</v>
      </c>
      <c r="M1639">
        <v>905953</v>
      </c>
    </row>
    <row r="1640" spans="1:13" ht="15">
      <c r="A1640" s="4">
        <v>201405</v>
      </c>
      <c r="B1640" t="s">
        <v>270</v>
      </c>
      <c r="C1640" s="5">
        <v>6547562</v>
      </c>
      <c r="D1640" s="2" t="s">
        <v>988</v>
      </c>
      <c r="E1640" s="2" t="s">
        <v>15</v>
      </c>
      <c r="F1640" s="3">
        <v>11456.7</v>
      </c>
      <c r="G1640" t="s">
        <v>73</v>
      </c>
      <c r="H1640" s="1" t="s">
        <v>46</v>
      </c>
      <c r="I1640" t="s">
        <v>95</v>
      </c>
      <c r="J1640" t="s">
        <v>271</v>
      </c>
      <c r="K1640" t="s">
        <v>272</v>
      </c>
      <c r="L1640" t="s">
        <v>273</v>
      </c>
      <c r="M1640">
        <v>904872</v>
      </c>
    </row>
    <row r="1641" spans="1:13" ht="15">
      <c r="A1641" s="4">
        <v>201408</v>
      </c>
      <c r="B1641" t="s">
        <v>270</v>
      </c>
      <c r="C1641" s="5">
        <v>6547562</v>
      </c>
      <c r="D1641" s="2" t="s">
        <v>988</v>
      </c>
      <c r="E1641" s="2" t="s">
        <v>15</v>
      </c>
      <c r="F1641" s="3">
        <v>6074.92</v>
      </c>
      <c r="G1641" t="s">
        <v>73</v>
      </c>
      <c r="H1641" s="1" t="s">
        <v>46</v>
      </c>
      <c r="I1641" t="s">
        <v>122</v>
      </c>
      <c r="J1641" t="s">
        <v>271</v>
      </c>
      <c r="K1641" t="s">
        <v>272</v>
      </c>
      <c r="L1641" t="s">
        <v>273</v>
      </c>
      <c r="M1641">
        <v>910615</v>
      </c>
    </row>
    <row r="1642" spans="1:14" ht="15">
      <c r="A1642" s="4">
        <v>201404</v>
      </c>
      <c r="B1642" t="s">
        <v>270</v>
      </c>
      <c r="C1642" s="5">
        <v>6547562</v>
      </c>
      <c r="D1642" s="2" t="s">
        <v>988</v>
      </c>
      <c r="E1642" s="2" t="s">
        <v>15</v>
      </c>
      <c r="F1642" s="3">
        <v>-0.24</v>
      </c>
      <c r="G1642" t="s">
        <v>57</v>
      </c>
      <c r="H1642" s="1" t="s">
        <v>60</v>
      </c>
      <c r="I1642" t="e">
        <f>-66830/KYCAR45460/2</f>
        <v>#NAME?</v>
      </c>
      <c r="J1642" t="s">
        <v>271</v>
      </c>
      <c r="K1642" t="s">
        <v>272</v>
      </c>
      <c r="L1642" t="s">
        <v>273</v>
      </c>
      <c r="N1642" t="s">
        <v>58</v>
      </c>
    </row>
    <row r="1643" spans="1:14" ht="15">
      <c r="A1643" s="4">
        <v>201404</v>
      </c>
      <c r="B1643" t="s">
        <v>270</v>
      </c>
      <c r="C1643" s="5">
        <v>6547562</v>
      </c>
      <c r="D1643" s="2" t="s">
        <v>988</v>
      </c>
      <c r="E1643" s="2" t="s">
        <v>15</v>
      </c>
      <c r="F1643" s="3">
        <v>37.17</v>
      </c>
      <c r="G1643" t="s">
        <v>57</v>
      </c>
      <c r="H1643" s="1" t="s">
        <v>60</v>
      </c>
      <c r="I1643" t="e">
        <f>-66830/KYCAR45460/1</f>
        <v>#NAME?</v>
      </c>
      <c r="J1643" t="s">
        <v>271</v>
      </c>
      <c r="K1643" t="s">
        <v>272</v>
      </c>
      <c r="L1643" t="s">
        <v>273</v>
      </c>
      <c r="N1643" t="s">
        <v>58</v>
      </c>
    </row>
    <row r="1644" spans="1:13" ht="15">
      <c r="A1644" s="4">
        <v>201404</v>
      </c>
      <c r="B1644" t="s">
        <v>270</v>
      </c>
      <c r="C1644" s="5">
        <v>6547562</v>
      </c>
      <c r="D1644" s="2" t="s">
        <v>988</v>
      </c>
      <c r="E1644" s="2" t="s">
        <v>15</v>
      </c>
      <c r="F1644" s="3">
        <v>103.92</v>
      </c>
      <c r="G1644" t="s">
        <v>109</v>
      </c>
      <c r="H1644" s="1" t="s">
        <v>60</v>
      </c>
      <c r="I1644" t="s">
        <v>1005</v>
      </c>
      <c r="J1644" t="s">
        <v>271</v>
      </c>
      <c r="K1644" t="s">
        <v>272</v>
      </c>
      <c r="L1644" t="s">
        <v>273</v>
      </c>
      <c r="M1644">
        <v>901852</v>
      </c>
    </row>
    <row r="1645" spans="1:13" ht="15">
      <c r="A1645" s="4">
        <v>201404</v>
      </c>
      <c r="B1645" t="s">
        <v>270</v>
      </c>
      <c r="C1645" s="5">
        <v>6547562</v>
      </c>
      <c r="D1645" s="2" t="s">
        <v>988</v>
      </c>
      <c r="E1645" s="2" t="s">
        <v>15</v>
      </c>
      <c r="F1645" s="3">
        <v>197.89</v>
      </c>
      <c r="G1645" t="s">
        <v>109</v>
      </c>
      <c r="H1645" s="1" t="s">
        <v>60</v>
      </c>
      <c r="I1645" t="s">
        <v>1006</v>
      </c>
      <c r="J1645" t="s">
        <v>271</v>
      </c>
      <c r="K1645" t="s">
        <v>272</v>
      </c>
      <c r="L1645" t="s">
        <v>273</v>
      </c>
      <c r="M1645">
        <v>901852</v>
      </c>
    </row>
    <row r="1646" spans="1:14" ht="15">
      <c r="A1646" s="4">
        <v>201404</v>
      </c>
      <c r="B1646" t="s">
        <v>270</v>
      </c>
      <c r="C1646" s="5">
        <v>6547562</v>
      </c>
      <c r="D1646" s="2" t="s">
        <v>988</v>
      </c>
      <c r="E1646" s="2" t="s">
        <v>15</v>
      </c>
      <c r="F1646" s="3">
        <v>255.01</v>
      </c>
      <c r="G1646" t="s">
        <v>57</v>
      </c>
      <c r="H1646" s="1" t="s">
        <v>60</v>
      </c>
      <c r="I1646">
        <f>-70891/320082/1</f>
        <v>-0.22147762135952662</v>
      </c>
      <c r="J1646" t="s">
        <v>271</v>
      </c>
      <c r="K1646" t="s">
        <v>272</v>
      </c>
      <c r="L1646" t="s">
        <v>273</v>
      </c>
      <c r="N1646" t="s">
        <v>58</v>
      </c>
    </row>
    <row r="1647" spans="1:13" ht="15">
      <c r="A1647" s="4">
        <v>201404</v>
      </c>
      <c r="B1647" t="s">
        <v>270</v>
      </c>
      <c r="C1647" s="5">
        <v>6547562</v>
      </c>
      <c r="D1647" s="2" t="s">
        <v>988</v>
      </c>
      <c r="E1647" s="2" t="s">
        <v>15</v>
      </c>
      <c r="F1647" s="3">
        <v>313.6</v>
      </c>
      <c r="G1647" t="s">
        <v>109</v>
      </c>
      <c r="H1647" s="1" t="s">
        <v>60</v>
      </c>
      <c r="I1647" t="s">
        <v>1007</v>
      </c>
      <c r="J1647" t="s">
        <v>271</v>
      </c>
      <c r="K1647" t="s">
        <v>272</v>
      </c>
      <c r="L1647" t="s">
        <v>273</v>
      </c>
      <c r="M1647">
        <v>901852</v>
      </c>
    </row>
    <row r="1648" spans="1:12" ht="15">
      <c r="A1648" s="4">
        <v>201404</v>
      </c>
      <c r="B1648" t="s">
        <v>270</v>
      </c>
      <c r="C1648" s="5">
        <v>6547562</v>
      </c>
      <c r="D1648" s="2" t="s">
        <v>988</v>
      </c>
      <c r="E1648" s="2" t="s">
        <v>15</v>
      </c>
      <c r="F1648" s="3">
        <v>1070.68</v>
      </c>
      <c r="H1648" s="1" t="s">
        <v>60</v>
      </c>
      <c r="I1648" t="s">
        <v>1008</v>
      </c>
      <c r="J1648" t="s">
        <v>271</v>
      </c>
      <c r="K1648" t="s">
        <v>272</v>
      </c>
      <c r="L1648" t="s">
        <v>273</v>
      </c>
    </row>
    <row r="1649" spans="1:13" ht="15">
      <c r="A1649" s="4">
        <v>201404</v>
      </c>
      <c r="B1649" t="s">
        <v>270</v>
      </c>
      <c r="C1649" s="5">
        <v>6547562</v>
      </c>
      <c r="D1649" s="2" t="s">
        <v>988</v>
      </c>
      <c r="E1649" s="2" t="s">
        <v>15</v>
      </c>
      <c r="F1649" s="3">
        <v>4250.22</v>
      </c>
      <c r="G1649" t="s">
        <v>81</v>
      </c>
      <c r="H1649" s="1" t="s">
        <v>60</v>
      </c>
      <c r="I1649" t="s">
        <v>1009</v>
      </c>
      <c r="J1649" t="s">
        <v>271</v>
      </c>
      <c r="K1649" t="s">
        <v>272</v>
      </c>
      <c r="L1649" t="s">
        <v>273</v>
      </c>
      <c r="M1649">
        <v>901439</v>
      </c>
    </row>
    <row r="1650" spans="1:12" ht="15">
      <c r="A1650" s="4">
        <v>201405</v>
      </c>
      <c r="B1650" t="s">
        <v>270</v>
      </c>
      <c r="C1650" s="5">
        <v>6547562</v>
      </c>
      <c r="D1650" s="2" t="s">
        <v>988</v>
      </c>
      <c r="E1650" s="2" t="s">
        <v>15</v>
      </c>
      <c r="F1650" s="3">
        <v>0</v>
      </c>
      <c r="H1650" s="1" t="s">
        <v>60</v>
      </c>
      <c r="I1650" t="s">
        <v>1008</v>
      </c>
      <c r="J1650" t="s">
        <v>271</v>
      </c>
      <c r="K1650" t="s">
        <v>272</v>
      </c>
      <c r="L1650" t="s">
        <v>273</v>
      </c>
    </row>
    <row r="1651" spans="1:14" ht="15">
      <c r="A1651" s="4">
        <v>201405</v>
      </c>
      <c r="B1651" t="s">
        <v>270</v>
      </c>
      <c r="C1651" s="5">
        <v>6547562</v>
      </c>
      <c r="D1651" s="2" t="s">
        <v>988</v>
      </c>
      <c r="E1651" s="2" t="s">
        <v>15</v>
      </c>
      <c r="F1651" s="3">
        <v>91.5</v>
      </c>
      <c r="G1651" t="s">
        <v>57</v>
      </c>
      <c r="H1651" s="1" t="s">
        <v>60</v>
      </c>
      <c r="I1651" t="e">
        <f>-66830/KYCAR45883/1</f>
        <v>#NAME?</v>
      </c>
      <c r="J1651" t="s">
        <v>271</v>
      </c>
      <c r="K1651" t="s">
        <v>272</v>
      </c>
      <c r="L1651" t="s">
        <v>273</v>
      </c>
      <c r="N1651" t="s">
        <v>58</v>
      </c>
    </row>
    <row r="1652" spans="1:13" ht="15">
      <c r="A1652" s="4">
        <v>201405</v>
      </c>
      <c r="B1652" t="s">
        <v>270</v>
      </c>
      <c r="C1652" s="5">
        <v>6547562</v>
      </c>
      <c r="D1652" s="2" t="s">
        <v>988</v>
      </c>
      <c r="E1652" s="2" t="s">
        <v>15</v>
      </c>
      <c r="F1652" s="3">
        <v>148.44</v>
      </c>
      <c r="G1652" t="s">
        <v>109</v>
      </c>
      <c r="H1652" s="1" t="s">
        <v>60</v>
      </c>
      <c r="I1652" t="s">
        <v>1010</v>
      </c>
      <c r="J1652" t="s">
        <v>271</v>
      </c>
      <c r="K1652" t="s">
        <v>272</v>
      </c>
      <c r="L1652" t="s">
        <v>273</v>
      </c>
      <c r="M1652">
        <v>903310</v>
      </c>
    </row>
    <row r="1653" spans="1:13" ht="15">
      <c r="A1653" s="4">
        <v>201405</v>
      </c>
      <c r="B1653" t="s">
        <v>270</v>
      </c>
      <c r="C1653" s="5">
        <v>6547562</v>
      </c>
      <c r="D1653" s="2" t="s">
        <v>988</v>
      </c>
      <c r="E1653" s="2" t="s">
        <v>15</v>
      </c>
      <c r="F1653" s="3">
        <v>282.69</v>
      </c>
      <c r="G1653" t="s">
        <v>109</v>
      </c>
      <c r="H1653" s="1" t="s">
        <v>60</v>
      </c>
      <c r="I1653" t="s">
        <v>1011</v>
      </c>
      <c r="J1653" t="s">
        <v>271</v>
      </c>
      <c r="K1653" t="s">
        <v>272</v>
      </c>
      <c r="L1653" t="s">
        <v>273</v>
      </c>
      <c r="M1653">
        <v>903310</v>
      </c>
    </row>
    <row r="1654" spans="1:13" ht="15">
      <c r="A1654" s="4">
        <v>201405</v>
      </c>
      <c r="B1654" t="s">
        <v>270</v>
      </c>
      <c r="C1654" s="5">
        <v>6547562</v>
      </c>
      <c r="D1654" s="2" t="s">
        <v>988</v>
      </c>
      <c r="E1654" s="2" t="s">
        <v>15</v>
      </c>
      <c r="F1654" s="3">
        <v>544.87</v>
      </c>
      <c r="G1654" t="s">
        <v>109</v>
      </c>
      <c r="H1654" s="1" t="s">
        <v>60</v>
      </c>
      <c r="I1654" t="e">
        <f>-Shipping+handling</f>
        <v>#NAME?</v>
      </c>
      <c r="J1654" t="s">
        <v>271</v>
      </c>
      <c r="K1654" t="s">
        <v>272</v>
      </c>
      <c r="L1654" t="s">
        <v>273</v>
      </c>
      <c r="M1654">
        <v>903310</v>
      </c>
    </row>
    <row r="1655" spans="1:13" ht="15">
      <c r="A1655" s="4">
        <v>201405</v>
      </c>
      <c r="B1655" t="s">
        <v>270</v>
      </c>
      <c r="C1655" s="5">
        <v>6547562</v>
      </c>
      <c r="D1655" s="2" t="s">
        <v>988</v>
      </c>
      <c r="E1655" s="2" t="s">
        <v>15</v>
      </c>
      <c r="F1655" s="3">
        <v>549</v>
      </c>
      <c r="G1655" t="s">
        <v>109</v>
      </c>
      <c r="H1655" s="1" t="s">
        <v>60</v>
      </c>
      <c r="I1655" t="s">
        <v>1012</v>
      </c>
      <c r="J1655" t="s">
        <v>271</v>
      </c>
      <c r="K1655" t="s">
        <v>272</v>
      </c>
      <c r="L1655" t="s">
        <v>273</v>
      </c>
      <c r="M1655">
        <v>903310</v>
      </c>
    </row>
    <row r="1656" spans="1:12" ht="15">
      <c r="A1656" s="4">
        <v>201406</v>
      </c>
      <c r="B1656" t="s">
        <v>270</v>
      </c>
      <c r="C1656" s="5">
        <v>6547562</v>
      </c>
      <c r="D1656" s="2" t="s">
        <v>988</v>
      </c>
      <c r="E1656" s="2" t="s">
        <v>15</v>
      </c>
      <c r="F1656" s="3">
        <v>-1070.68</v>
      </c>
      <c r="H1656" s="1" t="s">
        <v>60</v>
      </c>
      <c r="I1656" t="s">
        <v>1008</v>
      </c>
      <c r="J1656" t="s">
        <v>271</v>
      </c>
      <c r="K1656" t="s">
        <v>272</v>
      </c>
      <c r="L1656" t="s">
        <v>273</v>
      </c>
    </row>
    <row r="1657" spans="1:14" ht="15">
      <c r="A1657" s="4">
        <v>201406</v>
      </c>
      <c r="B1657" t="s">
        <v>270</v>
      </c>
      <c r="C1657" s="5">
        <v>6547562</v>
      </c>
      <c r="D1657" s="2" t="s">
        <v>988</v>
      </c>
      <c r="E1657" s="2" t="s">
        <v>15</v>
      </c>
      <c r="F1657" s="3">
        <v>64.24</v>
      </c>
      <c r="G1657" t="s">
        <v>57</v>
      </c>
      <c r="H1657" s="1" t="s">
        <v>60</v>
      </c>
      <c r="I1657" t="e">
        <f>-16294/KY67758319/1</f>
        <v>#NAME?</v>
      </c>
      <c r="J1657" t="s">
        <v>271</v>
      </c>
      <c r="K1657" t="s">
        <v>272</v>
      </c>
      <c r="L1657" t="s">
        <v>273</v>
      </c>
      <c r="N1657" t="s">
        <v>58</v>
      </c>
    </row>
    <row r="1658" spans="1:13" ht="15">
      <c r="A1658" s="4">
        <v>201406</v>
      </c>
      <c r="B1658" t="s">
        <v>270</v>
      </c>
      <c r="C1658" s="5">
        <v>6547562</v>
      </c>
      <c r="D1658" s="2" t="s">
        <v>988</v>
      </c>
      <c r="E1658" s="2" t="s">
        <v>15</v>
      </c>
      <c r="F1658" s="3">
        <v>1070.68</v>
      </c>
      <c r="G1658" t="s">
        <v>96</v>
      </c>
      <c r="H1658" s="1" t="s">
        <v>60</v>
      </c>
      <c r="I1658" t="s">
        <v>1013</v>
      </c>
      <c r="J1658" t="s">
        <v>271</v>
      </c>
      <c r="K1658" t="s">
        <v>272</v>
      </c>
      <c r="L1658" t="s">
        <v>273</v>
      </c>
      <c r="M1658">
        <v>900923</v>
      </c>
    </row>
    <row r="1659" spans="1:14" ht="15">
      <c r="A1659" s="4">
        <v>201407</v>
      </c>
      <c r="B1659" t="s">
        <v>270</v>
      </c>
      <c r="C1659" s="5">
        <v>6547562</v>
      </c>
      <c r="D1659" s="2" t="s">
        <v>988</v>
      </c>
      <c r="E1659" s="2" t="s">
        <v>15</v>
      </c>
      <c r="F1659" s="3">
        <v>-1.8</v>
      </c>
      <c r="G1659" t="s">
        <v>57</v>
      </c>
      <c r="H1659" s="1" t="s">
        <v>60</v>
      </c>
      <c r="I1659" t="e">
        <f>-53069/POI016613/3</f>
        <v>#NAME?</v>
      </c>
      <c r="J1659" t="s">
        <v>271</v>
      </c>
      <c r="K1659" t="s">
        <v>272</v>
      </c>
      <c r="L1659" t="s">
        <v>273</v>
      </c>
      <c r="N1659" t="s">
        <v>58</v>
      </c>
    </row>
    <row r="1660" spans="1:14" ht="15">
      <c r="A1660" s="4">
        <v>201407</v>
      </c>
      <c r="B1660" t="s">
        <v>270</v>
      </c>
      <c r="C1660" s="5">
        <v>6547562</v>
      </c>
      <c r="D1660" s="2" t="s">
        <v>988</v>
      </c>
      <c r="E1660" s="2" t="s">
        <v>15</v>
      </c>
      <c r="F1660" s="3">
        <v>-1.2</v>
      </c>
      <c r="G1660" t="s">
        <v>57</v>
      </c>
      <c r="H1660" s="1" t="s">
        <v>60</v>
      </c>
      <c r="I1660" t="e">
        <f>-53069/POI016613/2</f>
        <v>#NAME?</v>
      </c>
      <c r="J1660" t="s">
        <v>271</v>
      </c>
      <c r="K1660" t="s">
        <v>272</v>
      </c>
      <c r="L1660" t="s">
        <v>273</v>
      </c>
      <c r="N1660" t="s">
        <v>58</v>
      </c>
    </row>
    <row r="1661" spans="1:14" ht="15">
      <c r="A1661" s="4">
        <v>201407</v>
      </c>
      <c r="B1661" t="s">
        <v>270</v>
      </c>
      <c r="C1661" s="5">
        <v>6547562</v>
      </c>
      <c r="D1661" s="2" t="s">
        <v>988</v>
      </c>
      <c r="E1661" s="2" t="s">
        <v>15</v>
      </c>
      <c r="F1661" s="3">
        <v>-0.6</v>
      </c>
      <c r="G1661" t="s">
        <v>57</v>
      </c>
      <c r="H1661" s="1" t="s">
        <v>60</v>
      </c>
      <c r="I1661" t="e">
        <f>-53069/POI016613/4</f>
        <v>#NAME?</v>
      </c>
      <c r="J1661" t="s">
        <v>271</v>
      </c>
      <c r="K1661" t="s">
        <v>272</v>
      </c>
      <c r="L1661" t="s">
        <v>273</v>
      </c>
      <c r="N1661" t="s">
        <v>58</v>
      </c>
    </row>
    <row r="1662" spans="1:14" ht="15">
      <c r="A1662" s="4">
        <v>201407</v>
      </c>
      <c r="B1662" t="s">
        <v>270</v>
      </c>
      <c r="C1662" s="5">
        <v>6547562</v>
      </c>
      <c r="D1662" s="2" t="s">
        <v>988</v>
      </c>
      <c r="E1662" s="2" t="s">
        <v>15</v>
      </c>
      <c r="F1662" s="3">
        <v>-0.6</v>
      </c>
      <c r="G1662" t="s">
        <v>57</v>
      </c>
      <c r="H1662" s="1" t="s">
        <v>60</v>
      </c>
      <c r="I1662" t="e">
        <f>-53069/POI019044/2</f>
        <v>#NAME?</v>
      </c>
      <c r="J1662" t="s">
        <v>271</v>
      </c>
      <c r="K1662" t="s">
        <v>272</v>
      </c>
      <c r="L1662" t="s">
        <v>273</v>
      </c>
      <c r="N1662" t="s">
        <v>58</v>
      </c>
    </row>
    <row r="1663" spans="1:14" ht="15">
      <c r="A1663" s="4">
        <v>201407</v>
      </c>
      <c r="B1663" t="s">
        <v>270</v>
      </c>
      <c r="C1663" s="5">
        <v>6547562</v>
      </c>
      <c r="D1663" s="2" t="s">
        <v>988</v>
      </c>
      <c r="E1663" s="2" t="s">
        <v>15</v>
      </c>
      <c r="F1663" s="3">
        <v>5.4</v>
      </c>
      <c r="G1663" t="s">
        <v>57</v>
      </c>
      <c r="H1663" s="1" t="s">
        <v>60</v>
      </c>
      <c r="I1663" t="e">
        <f>-53069/POI019044/1</f>
        <v>#NAME?</v>
      </c>
      <c r="J1663" t="s">
        <v>271</v>
      </c>
      <c r="K1663" t="s">
        <v>272</v>
      </c>
      <c r="L1663" t="s">
        <v>273</v>
      </c>
      <c r="N1663" t="s">
        <v>58</v>
      </c>
    </row>
    <row r="1664" spans="1:13" ht="15">
      <c r="A1664" s="4">
        <v>201407</v>
      </c>
      <c r="B1664" t="s">
        <v>270</v>
      </c>
      <c r="C1664" s="5">
        <v>6547562</v>
      </c>
      <c r="D1664" s="2" t="s">
        <v>988</v>
      </c>
      <c r="E1664" s="2" t="s">
        <v>15</v>
      </c>
      <c r="F1664" s="3">
        <v>26</v>
      </c>
      <c r="G1664" t="s">
        <v>897</v>
      </c>
      <c r="H1664" s="1" t="s">
        <v>60</v>
      </c>
      <c r="I1664" t="s">
        <v>1014</v>
      </c>
      <c r="J1664" t="s">
        <v>271</v>
      </c>
      <c r="K1664" t="s">
        <v>272</v>
      </c>
      <c r="L1664" t="s">
        <v>273</v>
      </c>
      <c r="M1664">
        <v>900551</v>
      </c>
    </row>
    <row r="1665" spans="1:13" ht="15">
      <c r="A1665" s="4">
        <v>201407</v>
      </c>
      <c r="B1665" t="s">
        <v>270</v>
      </c>
      <c r="C1665" s="5">
        <v>6547562</v>
      </c>
      <c r="D1665" s="2" t="s">
        <v>988</v>
      </c>
      <c r="E1665" s="2" t="s">
        <v>15</v>
      </c>
      <c r="F1665" s="3">
        <v>30</v>
      </c>
      <c r="G1665" t="s">
        <v>897</v>
      </c>
      <c r="H1665" s="1" t="s">
        <v>60</v>
      </c>
      <c r="I1665" t="s">
        <v>1015</v>
      </c>
      <c r="J1665" t="s">
        <v>271</v>
      </c>
      <c r="K1665" t="s">
        <v>272</v>
      </c>
      <c r="L1665" t="s">
        <v>273</v>
      </c>
      <c r="M1665">
        <v>900551</v>
      </c>
    </row>
    <row r="1666" spans="1:13" ht="15">
      <c r="A1666" s="4">
        <v>201407</v>
      </c>
      <c r="B1666" t="s">
        <v>270</v>
      </c>
      <c r="C1666" s="5">
        <v>6547562</v>
      </c>
      <c r="D1666" s="2" t="s">
        <v>988</v>
      </c>
      <c r="E1666" s="2" t="s">
        <v>15</v>
      </c>
      <c r="F1666" s="3">
        <v>40</v>
      </c>
      <c r="G1666" t="s">
        <v>897</v>
      </c>
      <c r="H1666" s="1" t="s">
        <v>60</v>
      </c>
      <c r="I1666" t="s">
        <v>1016</v>
      </c>
      <c r="J1666" t="s">
        <v>271</v>
      </c>
      <c r="K1666" t="s">
        <v>272</v>
      </c>
      <c r="L1666" t="s">
        <v>273</v>
      </c>
      <c r="M1666">
        <v>900551</v>
      </c>
    </row>
    <row r="1667" spans="1:13" ht="15">
      <c r="A1667" s="4">
        <v>201407</v>
      </c>
      <c r="B1667" t="s">
        <v>270</v>
      </c>
      <c r="C1667" s="5">
        <v>6547562</v>
      </c>
      <c r="D1667" s="2" t="s">
        <v>988</v>
      </c>
      <c r="E1667" s="2" t="s">
        <v>15</v>
      </c>
      <c r="F1667" s="3">
        <v>78</v>
      </c>
      <c r="G1667" t="s">
        <v>897</v>
      </c>
      <c r="H1667" s="1" t="s">
        <v>60</v>
      </c>
      <c r="I1667" t="s">
        <v>1017</v>
      </c>
      <c r="J1667" t="s">
        <v>271</v>
      </c>
      <c r="K1667" t="s">
        <v>272</v>
      </c>
      <c r="L1667" t="s">
        <v>273</v>
      </c>
      <c r="M1667">
        <v>900551</v>
      </c>
    </row>
    <row r="1668" spans="1:13" ht="15">
      <c r="A1668" s="4">
        <v>201407</v>
      </c>
      <c r="B1668" t="s">
        <v>270</v>
      </c>
      <c r="C1668" s="5">
        <v>6547562</v>
      </c>
      <c r="D1668" s="2" t="s">
        <v>988</v>
      </c>
      <c r="E1668" s="2" t="s">
        <v>15</v>
      </c>
      <c r="F1668" s="3">
        <v>80</v>
      </c>
      <c r="G1668" t="s">
        <v>897</v>
      </c>
      <c r="H1668" s="1" t="s">
        <v>60</v>
      </c>
      <c r="I1668" t="s">
        <v>1018</v>
      </c>
      <c r="J1668" t="s">
        <v>271</v>
      </c>
      <c r="K1668" t="s">
        <v>272</v>
      </c>
      <c r="L1668" t="s">
        <v>273</v>
      </c>
      <c r="M1668">
        <v>900551</v>
      </c>
    </row>
    <row r="1669" spans="1:13" ht="15">
      <c r="A1669" s="4">
        <v>201407</v>
      </c>
      <c r="B1669" t="s">
        <v>270</v>
      </c>
      <c r="C1669" s="5">
        <v>6547562</v>
      </c>
      <c r="D1669" s="2" t="s">
        <v>988</v>
      </c>
      <c r="E1669" s="2" t="s">
        <v>15</v>
      </c>
      <c r="F1669" s="3">
        <v>80.01</v>
      </c>
      <c r="G1669" t="s">
        <v>897</v>
      </c>
      <c r="H1669" s="1" t="s">
        <v>60</v>
      </c>
      <c r="I1669" t="s">
        <v>1016</v>
      </c>
      <c r="J1669" t="s">
        <v>271</v>
      </c>
      <c r="K1669" t="s">
        <v>272</v>
      </c>
      <c r="L1669" t="s">
        <v>273</v>
      </c>
      <c r="M1669">
        <v>900551</v>
      </c>
    </row>
    <row r="1670" spans="1:13" ht="15">
      <c r="A1670" s="4">
        <v>201407</v>
      </c>
      <c r="B1670" t="s">
        <v>270</v>
      </c>
      <c r="C1670" s="5">
        <v>6547562</v>
      </c>
      <c r="D1670" s="2" t="s">
        <v>988</v>
      </c>
      <c r="E1670" s="2" t="s">
        <v>15</v>
      </c>
      <c r="F1670" s="3">
        <v>99</v>
      </c>
      <c r="G1670" t="s">
        <v>897</v>
      </c>
      <c r="H1670" s="1" t="s">
        <v>60</v>
      </c>
      <c r="I1670" t="s">
        <v>1019</v>
      </c>
      <c r="J1670" t="s">
        <v>271</v>
      </c>
      <c r="K1670" t="s">
        <v>272</v>
      </c>
      <c r="L1670" t="s">
        <v>273</v>
      </c>
      <c r="M1670">
        <v>900551</v>
      </c>
    </row>
    <row r="1671" spans="1:13" ht="15">
      <c r="A1671" s="4">
        <v>201407</v>
      </c>
      <c r="B1671" t="s">
        <v>270</v>
      </c>
      <c r="C1671" s="5">
        <v>6547562</v>
      </c>
      <c r="D1671" s="2" t="s">
        <v>988</v>
      </c>
      <c r="E1671" s="2" t="s">
        <v>15</v>
      </c>
      <c r="F1671" s="3">
        <v>100</v>
      </c>
      <c r="G1671" t="s">
        <v>897</v>
      </c>
      <c r="H1671" s="1" t="s">
        <v>60</v>
      </c>
      <c r="I1671" t="s">
        <v>1020</v>
      </c>
      <c r="J1671" t="s">
        <v>271</v>
      </c>
      <c r="K1671" t="s">
        <v>272</v>
      </c>
      <c r="L1671" t="s">
        <v>273</v>
      </c>
      <c r="M1671">
        <v>900551</v>
      </c>
    </row>
    <row r="1672" spans="1:13" ht="15">
      <c r="A1672" s="4">
        <v>201407</v>
      </c>
      <c r="B1672" t="s">
        <v>270</v>
      </c>
      <c r="C1672" s="5">
        <v>6547562</v>
      </c>
      <c r="D1672" s="2" t="s">
        <v>988</v>
      </c>
      <c r="E1672" s="2" t="s">
        <v>15</v>
      </c>
      <c r="F1672" s="3">
        <v>120</v>
      </c>
      <c r="G1672" t="s">
        <v>897</v>
      </c>
      <c r="H1672" s="1" t="s">
        <v>60</v>
      </c>
      <c r="I1672" t="s">
        <v>1021</v>
      </c>
      <c r="J1672" t="s">
        <v>271</v>
      </c>
      <c r="K1672" t="s">
        <v>272</v>
      </c>
      <c r="L1672" t="s">
        <v>273</v>
      </c>
      <c r="M1672">
        <v>900551</v>
      </c>
    </row>
    <row r="1673" spans="1:13" ht="15">
      <c r="A1673" s="4">
        <v>201407</v>
      </c>
      <c r="B1673" t="s">
        <v>270</v>
      </c>
      <c r="C1673" s="5">
        <v>6547562</v>
      </c>
      <c r="D1673" s="2" t="s">
        <v>988</v>
      </c>
      <c r="E1673" s="2" t="s">
        <v>15</v>
      </c>
      <c r="F1673" s="3">
        <v>160</v>
      </c>
      <c r="G1673" t="s">
        <v>897</v>
      </c>
      <c r="H1673" s="1" t="s">
        <v>60</v>
      </c>
      <c r="I1673" t="s">
        <v>1022</v>
      </c>
      <c r="J1673" t="s">
        <v>271</v>
      </c>
      <c r="K1673" t="s">
        <v>272</v>
      </c>
      <c r="L1673" t="s">
        <v>273</v>
      </c>
      <c r="M1673">
        <v>900551</v>
      </c>
    </row>
    <row r="1674" spans="1:13" ht="15">
      <c r="A1674" s="4">
        <v>201407</v>
      </c>
      <c r="B1674" t="s">
        <v>270</v>
      </c>
      <c r="C1674" s="5">
        <v>6547562</v>
      </c>
      <c r="D1674" s="2" t="s">
        <v>988</v>
      </c>
      <c r="E1674" s="2" t="s">
        <v>15</v>
      </c>
      <c r="F1674" s="3">
        <v>260</v>
      </c>
      <c r="G1674" t="s">
        <v>897</v>
      </c>
      <c r="H1674" s="1" t="s">
        <v>60</v>
      </c>
      <c r="I1674" t="s">
        <v>1023</v>
      </c>
      <c r="J1674" t="s">
        <v>271</v>
      </c>
      <c r="K1674" t="s">
        <v>272</v>
      </c>
      <c r="L1674" t="s">
        <v>273</v>
      </c>
      <c r="M1674">
        <v>900551</v>
      </c>
    </row>
    <row r="1675" spans="1:13" ht="15">
      <c r="A1675" s="4">
        <v>201407</v>
      </c>
      <c r="B1675" t="s">
        <v>270</v>
      </c>
      <c r="C1675" s="5">
        <v>6547562</v>
      </c>
      <c r="D1675" s="2" t="s">
        <v>988</v>
      </c>
      <c r="E1675" s="2" t="s">
        <v>15</v>
      </c>
      <c r="F1675" s="3">
        <v>396</v>
      </c>
      <c r="G1675" t="s">
        <v>897</v>
      </c>
      <c r="H1675" s="1" t="s">
        <v>60</v>
      </c>
      <c r="I1675" t="s">
        <v>1024</v>
      </c>
      <c r="J1675" t="s">
        <v>271</v>
      </c>
      <c r="K1675" t="s">
        <v>272</v>
      </c>
      <c r="L1675" t="s">
        <v>273</v>
      </c>
      <c r="M1675">
        <v>900551</v>
      </c>
    </row>
    <row r="1676" spans="1:14" ht="15">
      <c r="A1676" s="4">
        <v>201407</v>
      </c>
      <c r="B1676" t="s">
        <v>270</v>
      </c>
      <c r="C1676" s="5">
        <v>6547562</v>
      </c>
      <c r="D1676" s="2" t="s">
        <v>988</v>
      </c>
      <c r="E1676" s="2" t="s">
        <v>15</v>
      </c>
      <c r="F1676" s="3">
        <v>402.24</v>
      </c>
      <c r="G1676" t="s">
        <v>57</v>
      </c>
      <c r="H1676" s="1" t="s">
        <v>60</v>
      </c>
      <c r="I1676" t="e">
        <f>-53069/POI016613/1</f>
        <v>#NAME?</v>
      </c>
      <c r="J1676" t="s">
        <v>271</v>
      </c>
      <c r="K1676" t="s">
        <v>272</v>
      </c>
      <c r="L1676" t="s">
        <v>273</v>
      </c>
      <c r="N1676" t="s">
        <v>58</v>
      </c>
    </row>
    <row r="1677" spans="1:13" ht="15">
      <c r="A1677" s="4">
        <v>201407</v>
      </c>
      <c r="B1677" t="s">
        <v>270</v>
      </c>
      <c r="C1677" s="5">
        <v>6547562</v>
      </c>
      <c r="D1677" s="2" t="s">
        <v>988</v>
      </c>
      <c r="E1677" s="2" t="s">
        <v>15</v>
      </c>
      <c r="F1677" s="3">
        <v>405</v>
      </c>
      <c r="G1677" t="s">
        <v>897</v>
      </c>
      <c r="H1677" s="1" t="s">
        <v>60</v>
      </c>
      <c r="I1677" t="s">
        <v>1025</v>
      </c>
      <c r="J1677" t="s">
        <v>271</v>
      </c>
      <c r="K1677" t="s">
        <v>272</v>
      </c>
      <c r="L1677" t="s">
        <v>273</v>
      </c>
      <c r="M1677">
        <v>900551</v>
      </c>
    </row>
    <row r="1678" spans="1:13" ht="15">
      <c r="A1678" s="4">
        <v>201407</v>
      </c>
      <c r="B1678" t="s">
        <v>270</v>
      </c>
      <c r="C1678" s="5">
        <v>6547562</v>
      </c>
      <c r="D1678" s="2" t="s">
        <v>988</v>
      </c>
      <c r="E1678" s="2" t="s">
        <v>15</v>
      </c>
      <c r="F1678" s="3">
        <v>480</v>
      </c>
      <c r="G1678" t="s">
        <v>897</v>
      </c>
      <c r="H1678" s="1" t="s">
        <v>60</v>
      </c>
      <c r="I1678" t="s">
        <v>1026</v>
      </c>
      <c r="J1678" t="s">
        <v>271</v>
      </c>
      <c r="K1678" t="s">
        <v>272</v>
      </c>
      <c r="L1678" t="s">
        <v>273</v>
      </c>
      <c r="M1678">
        <v>900551</v>
      </c>
    </row>
    <row r="1679" spans="1:13" ht="15">
      <c r="A1679" s="4">
        <v>201407</v>
      </c>
      <c r="B1679" t="s">
        <v>270</v>
      </c>
      <c r="C1679" s="5">
        <v>6547562</v>
      </c>
      <c r="D1679" s="2" t="s">
        <v>988</v>
      </c>
      <c r="E1679" s="2" t="s">
        <v>15</v>
      </c>
      <c r="F1679" s="3">
        <v>510</v>
      </c>
      <c r="G1679" t="s">
        <v>897</v>
      </c>
      <c r="H1679" s="1" t="s">
        <v>60</v>
      </c>
      <c r="I1679" t="s">
        <v>1027</v>
      </c>
      <c r="J1679" t="s">
        <v>271</v>
      </c>
      <c r="K1679" t="s">
        <v>272</v>
      </c>
      <c r="L1679" t="s">
        <v>273</v>
      </c>
      <c r="M1679">
        <v>900551</v>
      </c>
    </row>
    <row r="1680" spans="1:13" ht="15">
      <c r="A1680" s="4">
        <v>201407</v>
      </c>
      <c r="B1680" t="s">
        <v>270</v>
      </c>
      <c r="C1680" s="5">
        <v>6547562</v>
      </c>
      <c r="D1680" s="2" t="s">
        <v>988</v>
      </c>
      <c r="E1680" s="2" t="s">
        <v>15</v>
      </c>
      <c r="F1680" s="3">
        <v>660</v>
      </c>
      <c r="G1680" t="s">
        <v>897</v>
      </c>
      <c r="H1680" s="1" t="s">
        <v>60</v>
      </c>
      <c r="I1680" t="s">
        <v>1028</v>
      </c>
      <c r="J1680" t="s">
        <v>271</v>
      </c>
      <c r="K1680" t="s">
        <v>272</v>
      </c>
      <c r="L1680" t="s">
        <v>273</v>
      </c>
      <c r="M1680">
        <v>900551</v>
      </c>
    </row>
    <row r="1681" spans="1:13" ht="15">
      <c r="A1681" s="4">
        <v>201407</v>
      </c>
      <c r="B1681" t="s">
        <v>270</v>
      </c>
      <c r="C1681" s="5">
        <v>6547562</v>
      </c>
      <c r="D1681" s="2" t="s">
        <v>988</v>
      </c>
      <c r="E1681" s="2" t="s">
        <v>15</v>
      </c>
      <c r="F1681" s="3">
        <v>744</v>
      </c>
      <c r="G1681" t="s">
        <v>897</v>
      </c>
      <c r="H1681" s="1" t="s">
        <v>60</v>
      </c>
      <c r="I1681" t="s">
        <v>1029</v>
      </c>
      <c r="J1681" t="s">
        <v>271</v>
      </c>
      <c r="K1681" t="s">
        <v>272</v>
      </c>
      <c r="L1681" t="s">
        <v>273</v>
      </c>
      <c r="M1681">
        <v>900551</v>
      </c>
    </row>
    <row r="1682" spans="1:13" ht="15">
      <c r="A1682" s="4">
        <v>201407</v>
      </c>
      <c r="B1682" t="s">
        <v>270</v>
      </c>
      <c r="C1682" s="5">
        <v>6547562</v>
      </c>
      <c r="D1682" s="2" t="s">
        <v>988</v>
      </c>
      <c r="E1682" s="2" t="s">
        <v>15</v>
      </c>
      <c r="F1682" s="3">
        <v>1136</v>
      </c>
      <c r="G1682" t="s">
        <v>897</v>
      </c>
      <c r="H1682" s="1" t="s">
        <v>60</v>
      </c>
      <c r="I1682" t="s">
        <v>1030</v>
      </c>
      <c r="J1682" t="s">
        <v>271</v>
      </c>
      <c r="K1682" t="s">
        <v>272</v>
      </c>
      <c r="L1682" t="s">
        <v>273</v>
      </c>
      <c r="M1682">
        <v>900551</v>
      </c>
    </row>
    <row r="1683" spans="1:13" ht="15">
      <c r="A1683" s="4">
        <v>201407</v>
      </c>
      <c r="B1683" t="s">
        <v>270</v>
      </c>
      <c r="C1683" s="5">
        <v>6547562</v>
      </c>
      <c r="D1683" s="2" t="s">
        <v>988</v>
      </c>
      <c r="E1683" s="2" t="s">
        <v>15</v>
      </c>
      <c r="F1683" s="3">
        <v>1320</v>
      </c>
      <c r="G1683" t="s">
        <v>897</v>
      </c>
      <c r="H1683" s="1" t="s">
        <v>60</v>
      </c>
      <c r="I1683" t="s">
        <v>1031</v>
      </c>
      <c r="J1683" t="s">
        <v>271</v>
      </c>
      <c r="K1683" t="s">
        <v>272</v>
      </c>
      <c r="L1683" t="s">
        <v>273</v>
      </c>
      <c r="M1683">
        <v>900551</v>
      </c>
    </row>
    <row r="1684" spans="1:12" ht="15">
      <c r="A1684" s="4">
        <v>201403</v>
      </c>
      <c r="B1684" t="s">
        <v>270</v>
      </c>
      <c r="C1684" s="5">
        <v>6547562</v>
      </c>
      <c r="D1684" s="2" t="s">
        <v>988</v>
      </c>
      <c r="E1684" s="2" t="s">
        <v>15</v>
      </c>
      <c r="F1684" s="3">
        <v>69.44</v>
      </c>
      <c r="H1684" s="1" t="s">
        <v>66</v>
      </c>
      <c r="I1684" t="s">
        <v>67</v>
      </c>
      <c r="J1684" t="s">
        <v>271</v>
      </c>
      <c r="K1684" t="s">
        <v>272</v>
      </c>
      <c r="L1684" t="s">
        <v>273</v>
      </c>
    </row>
    <row r="1685" spans="1:12" ht="15">
      <c r="A1685" s="4">
        <v>201404</v>
      </c>
      <c r="B1685" t="s">
        <v>270</v>
      </c>
      <c r="C1685" s="5">
        <v>6547562</v>
      </c>
      <c r="D1685" s="2" t="s">
        <v>988</v>
      </c>
      <c r="E1685" s="2" t="s">
        <v>15</v>
      </c>
      <c r="F1685" s="3">
        <v>45.64</v>
      </c>
      <c r="H1685" s="1" t="s">
        <v>66</v>
      </c>
      <c r="I1685" t="s">
        <v>67</v>
      </c>
      <c r="J1685" t="s">
        <v>271</v>
      </c>
      <c r="K1685" t="s">
        <v>272</v>
      </c>
      <c r="L1685" t="s">
        <v>273</v>
      </c>
    </row>
    <row r="1686" spans="1:12" ht="15">
      <c r="A1686" s="4">
        <v>201405</v>
      </c>
      <c r="B1686" t="s">
        <v>270</v>
      </c>
      <c r="C1686" s="5">
        <v>6547562</v>
      </c>
      <c r="D1686" s="2" t="s">
        <v>988</v>
      </c>
      <c r="E1686" s="2" t="s">
        <v>15</v>
      </c>
      <c r="F1686" s="3">
        <v>6.86</v>
      </c>
      <c r="H1686" s="1" t="s">
        <v>66</v>
      </c>
      <c r="I1686" t="s">
        <v>67</v>
      </c>
      <c r="J1686" t="s">
        <v>271</v>
      </c>
      <c r="K1686" t="s">
        <v>272</v>
      </c>
      <c r="L1686" t="s">
        <v>273</v>
      </c>
    </row>
    <row r="1687" spans="1:12" ht="15">
      <c r="A1687" s="4">
        <v>201403</v>
      </c>
      <c r="B1687" t="s">
        <v>270</v>
      </c>
      <c r="C1687" s="5">
        <v>6547562</v>
      </c>
      <c r="D1687" s="2" t="s">
        <v>988</v>
      </c>
      <c r="E1687" s="2" t="s">
        <v>15</v>
      </c>
      <c r="F1687" s="3">
        <v>0</v>
      </c>
      <c r="H1687" s="1" t="s">
        <v>68</v>
      </c>
      <c r="J1687" t="s">
        <v>271</v>
      </c>
      <c r="K1687" t="s">
        <v>272</v>
      </c>
      <c r="L1687" t="s">
        <v>273</v>
      </c>
    </row>
    <row r="1688" spans="1:12" ht="15">
      <c r="A1688" s="4">
        <v>201403</v>
      </c>
      <c r="B1688" t="s">
        <v>270</v>
      </c>
      <c r="C1688" s="5">
        <v>6547562</v>
      </c>
      <c r="D1688" s="2" t="s">
        <v>988</v>
      </c>
      <c r="E1688" s="2" t="s">
        <v>15</v>
      </c>
      <c r="F1688" s="3">
        <v>0</v>
      </c>
      <c r="H1688" s="1" t="s">
        <v>68</v>
      </c>
      <c r="J1688" t="s">
        <v>271</v>
      </c>
      <c r="K1688" t="s">
        <v>272</v>
      </c>
      <c r="L1688" t="s">
        <v>273</v>
      </c>
    </row>
    <row r="1689" spans="1:12" ht="15">
      <c r="A1689" s="4">
        <v>201403</v>
      </c>
      <c r="B1689" t="s">
        <v>270</v>
      </c>
      <c r="C1689" s="5">
        <v>6547562</v>
      </c>
      <c r="D1689" s="2" t="s">
        <v>988</v>
      </c>
      <c r="E1689" s="2" t="s">
        <v>15</v>
      </c>
      <c r="F1689" s="3">
        <v>0</v>
      </c>
      <c r="H1689" s="1" t="s">
        <v>68</v>
      </c>
      <c r="J1689" t="s">
        <v>271</v>
      </c>
      <c r="K1689" t="s">
        <v>272</v>
      </c>
      <c r="L1689" t="s">
        <v>273</v>
      </c>
    </row>
    <row r="1690" spans="1:12" ht="15">
      <c r="A1690" s="4">
        <v>201403</v>
      </c>
      <c r="B1690" t="s">
        <v>270</v>
      </c>
      <c r="C1690" s="5">
        <v>6547562</v>
      </c>
      <c r="D1690" s="2" t="s">
        <v>988</v>
      </c>
      <c r="E1690" s="2" t="s">
        <v>15</v>
      </c>
      <c r="F1690" s="3">
        <v>0</v>
      </c>
      <c r="H1690" s="1" t="s">
        <v>68</v>
      </c>
      <c r="J1690" t="s">
        <v>271</v>
      </c>
      <c r="K1690" t="s">
        <v>272</v>
      </c>
      <c r="L1690" t="s">
        <v>273</v>
      </c>
    </row>
    <row r="1691" spans="1:12" ht="15">
      <c r="A1691" s="4">
        <v>201403</v>
      </c>
      <c r="B1691" t="s">
        <v>270</v>
      </c>
      <c r="C1691" s="5">
        <v>6547562</v>
      </c>
      <c r="D1691" s="2" t="s">
        <v>988</v>
      </c>
      <c r="E1691" s="2" t="s">
        <v>15</v>
      </c>
      <c r="F1691" s="3">
        <v>0</v>
      </c>
      <c r="H1691" s="1" t="s">
        <v>68</v>
      </c>
      <c r="J1691" t="s">
        <v>271</v>
      </c>
      <c r="K1691" t="s">
        <v>272</v>
      </c>
      <c r="L1691" t="s">
        <v>273</v>
      </c>
    </row>
    <row r="1692" spans="1:12" ht="15">
      <c r="A1692" s="4">
        <v>201403</v>
      </c>
      <c r="B1692" t="s">
        <v>270</v>
      </c>
      <c r="C1692" s="5">
        <v>6547562</v>
      </c>
      <c r="D1692" s="2" t="s">
        <v>988</v>
      </c>
      <c r="E1692" s="2" t="s">
        <v>15</v>
      </c>
      <c r="F1692" s="3">
        <v>90</v>
      </c>
      <c r="H1692" s="1" t="s">
        <v>68</v>
      </c>
      <c r="J1692" t="s">
        <v>271</v>
      </c>
      <c r="K1692" t="s">
        <v>272</v>
      </c>
      <c r="L1692" t="s">
        <v>273</v>
      </c>
    </row>
    <row r="1693" spans="1:12" ht="15">
      <c r="A1693" s="4">
        <v>201404</v>
      </c>
      <c r="B1693" t="s">
        <v>270</v>
      </c>
      <c r="C1693" s="5">
        <v>6547562</v>
      </c>
      <c r="D1693" s="2" t="s">
        <v>988</v>
      </c>
      <c r="E1693" s="2" t="s">
        <v>15</v>
      </c>
      <c r="F1693" s="3">
        <v>0</v>
      </c>
      <c r="H1693" s="1" t="s">
        <v>68</v>
      </c>
      <c r="J1693" t="s">
        <v>271</v>
      </c>
      <c r="K1693" t="s">
        <v>272</v>
      </c>
      <c r="L1693" t="s">
        <v>273</v>
      </c>
    </row>
    <row r="1694" spans="1:12" ht="15">
      <c r="A1694" s="4">
        <v>201404</v>
      </c>
      <c r="B1694" t="s">
        <v>270</v>
      </c>
      <c r="C1694" s="5">
        <v>6547562</v>
      </c>
      <c r="D1694" s="2" t="s">
        <v>988</v>
      </c>
      <c r="E1694" s="2" t="s">
        <v>15</v>
      </c>
      <c r="F1694" s="3">
        <v>0</v>
      </c>
      <c r="H1694" s="1" t="s">
        <v>68</v>
      </c>
      <c r="J1694" t="s">
        <v>271</v>
      </c>
      <c r="K1694" t="s">
        <v>272</v>
      </c>
      <c r="L1694" t="s">
        <v>273</v>
      </c>
    </row>
    <row r="1695" spans="1:12" ht="15">
      <c r="A1695" s="4">
        <v>201404</v>
      </c>
      <c r="B1695" t="s">
        <v>270</v>
      </c>
      <c r="C1695" s="5">
        <v>6547562</v>
      </c>
      <c r="D1695" s="2" t="s">
        <v>988</v>
      </c>
      <c r="E1695" s="2" t="s">
        <v>15</v>
      </c>
      <c r="F1695" s="3">
        <v>0</v>
      </c>
      <c r="H1695" s="1" t="s">
        <v>68</v>
      </c>
      <c r="J1695" t="s">
        <v>271</v>
      </c>
      <c r="K1695" t="s">
        <v>272</v>
      </c>
      <c r="L1695" t="s">
        <v>273</v>
      </c>
    </row>
    <row r="1696" spans="1:12" ht="15">
      <c r="A1696" s="4">
        <v>201404</v>
      </c>
      <c r="B1696" t="s">
        <v>270</v>
      </c>
      <c r="C1696" s="5">
        <v>6547562</v>
      </c>
      <c r="D1696" s="2" t="s">
        <v>988</v>
      </c>
      <c r="E1696" s="2" t="s">
        <v>15</v>
      </c>
      <c r="F1696" s="3">
        <v>42</v>
      </c>
      <c r="H1696" s="1" t="s">
        <v>68</v>
      </c>
      <c r="J1696" t="s">
        <v>271</v>
      </c>
      <c r="K1696" t="s">
        <v>272</v>
      </c>
      <c r="L1696" t="s">
        <v>273</v>
      </c>
    </row>
    <row r="1697" spans="1:12" ht="15">
      <c r="A1697" s="4">
        <v>201405</v>
      </c>
      <c r="B1697" t="s">
        <v>270</v>
      </c>
      <c r="C1697" s="5">
        <v>6547562</v>
      </c>
      <c r="D1697" s="2" t="s">
        <v>988</v>
      </c>
      <c r="E1697" s="2" t="s">
        <v>15</v>
      </c>
      <c r="F1697" s="3">
        <v>0</v>
      </c>
      <c r="H1697" s="1" t="s">
        <v>68</v>
      </c>
      <c r="J1697" t="s">
        <v>271</v>
      </c>
      <c r="K1697" t="s">
        <v>272</v>
      </c>
      <c r="L1697" t="s">
        <v>273</v>
      </c>
    </row>
    <row r="1698" spans="1:12" ht="15">
      <c r="A1698" s="4">
        <v>201405</v>
      </c>
      <c r="B1698" t="s">
        <v>270</v>
      </c>
      <c r="C1698" s="5">
        <v>6547562</v>
      </c>
      <c r="D1698" s="2" t="s">
        <v>988</v>
      </c>
      <c r="E1698" s="2" t="s">
        <v>15</v>
      </c>
      <c r="F1698" s="3">
        <v>6</v>
      </c>
      <c r="H1698" s="1" t="s">
        <v>68</v>
      </c>
      <c r="J1698" t="s">
        <v>271</v>
      </c>
      <c r="K1698" t="s">
        <v>272</v>
      </c>
      <c r="L1698" t="s">
        <v>273</v>
      </c>
    </row>
    <row r="1699" spans="1:14" ht="15">
      <c r="A1699" s="4">
        <v>201404</v>
      </c>
      <c r="B1699" t="s">
        <v>270</v>
      </c>
      <c r="C1699" s="5">
        <v>6547562</v>
      </c>
      <c r="D1699" s="2" t="s">
        <v>988</v>
      </c>
      <c r="E1699" s="2" t="s">
        <v>15</v>
      </c>
      <c r="F1699" s="3">
        <v>0.78</v>
      </c>
      <c r="G1699" t="s">
        <v>57</v>
      </c>
      <c r="H1699" s="1" t="s">
        <v>69</v>
      </c>
      <c r="I1699">
        <f>-70891/320082/1</f>
        <v>-0.22147762135952662</v>
      </c>
      <c r="J1699" t="s">
        <v>271</v>
      </c>
      <c r="K1699" t="s">
        <v>272</v>
      </c>
      <c r="L1699" t="s">
        <v>273</v>
      </c>
      <c r="N1699" t="s">
        <v>58</v>
      </c>
    </row>
    <row r="1700" spans="1:14" ht="15">
      <c r="A1700" s="4">
        <v>201404</v>
      </c>
      <c r="B1700" t="s">
        <v>270</v>
      </c>
      <c r="C1700" s="5">
        <v>6547562</v>
      </c>
      <c r="D1700" s="2" t="s">
        <v>988</v>
      </c>
      <c r="E1700" s="2" t="s">
        <v>15</v>
      </c>
      <c r="F1700" s="3">
        <v>1.48</v>
      </c>
      <c r="G1700" t="s">
        <v>57</v>
      </c>
      <c r="H1700" s="1" t="s">
        <v>69</v>
      </c>
      <c r="I1700" t="e">
        <f>-66830/KYCAR45460/1</f>
        <v>#NAME?</v>
      </c>
      <c r="J1700" t="s">
        <v>271</v>
      </c>
      <c r="K1700" t="s">
        <v>272</v>
      </c>
      <c r="L1700" t="s">
        <v>273</v>
      </c>
      <c r="N1700" t="s">
        <v>58</v>
      </c>
    </row>
    <row r="1701" spans="1:12" ht="15">
      <c r="A1701" s="4">
        <v>201404</v>
      </c>
      <c r="B1701" t="s">
        <v>270</v>
      </c>
      <c r="C1701" s="5">
        <v>6547562</v>
      </c>
      <c r="D1701" s="2" t="s">
        <v>988</v>
      </c>
      <c r="E1701" s="2" t="s">
        <v>15</v>
      </c>
      <c r="F1701" s="3">
        <v>13.02</v>
      </c>
      <c r="G1701" t="s">
        <v>81</v>
      </c>
      <c r="H1701" s="1" t="s">
        <v>69</v>
      </c>
      <c r="I1701" t="e">
        <f>-freight</f>
        <v>#NAME?</v>
      </c>
      <c r="J1701" t="s">
        <v>271</v>
      </c>
      <c r="K1701" t="s">
        <v>272</v>
      </c>
      <c r="L1701" t="s">
        <v>273</v>
      </c>
    </row>
    <row r="1702" spans="1:12" ht="15">
      <c r="A1702" s="4">
        <v>201404</v>
      </c>
      <c r="B1702" t="s">
        <v>270</v>
      </c>
      <c r="C1702" s="5">
        <v>6547562</v>
      </c>
      <c r="D1702" s="2" t="s">
        <v>988</v>
      </c>
      <c r="E1702" s="2" t="s">
        <v>15</v>
      </c>
      <c r="F1702" s="3">
        <v>24.61</v>
      </c>
      <c r="G1702" t="s">
        <v>109</v>
      </c>
      <c r="H1702" s="1" t="s">
        <v>69</v>
      </c>
      <c r="I1702" t="e">
        <f>-freight</f>
        <v>#NAME?</v>
      </c>
      <c r="J1702" t="s">
        <v>271</v>
      </c>
      <c r="K1702" t="s">
        <v>272</v>
      </c>
      <c r="L1702" t="s">
        <v>273</v>
      </c>
    </row>
    <row r="1703" spans="1:12" ht="15">
      <c r="A1703" s="4">
        <v>201404</v>
      </c>
      <c r="B1703" t="s">
        <v>270</v>
      </c>
      <c r="C1703" s="5">
        <v>6547562</v>
      </c>
      <c r="D1703" s="2" t="s">
        <v>988</v>
      </c>
      <c r="E1703" s="2" t="s">
        <v>15</v>
      </c>
      <c r="F1703" s="3">
        <v>918.18</v>
      </c>
      <c r="G1703" t="s">
        <v>1032</v>
      </c>
      <c r="H1703" s="1" t="s">
        <v>69</v>
      </c>
      <c r="I1703" t="e">
        <f>-freight FOR motors at Trimble</f>
        <v>#NAME?</v>
      </c>
      <c r="J1703" t="s">
        <v>271</v>
      </c>
      <c r="K1703" t="s">
        <v>272</v>
      </c>
      <c r="L1703" t="s">
        <v>273</v>
      </c>
    </row>
    <row r="1704" spans="1:12" ht="15">
      <c r="A1704" s="4">
        <v>201405</v>
      </c>
      <c r="B1704" t="s">
        <v>270</v>
      </c>
      <c r="C1704" s="5">
        <v>6547562</v>
      </c>
      <c r="D1704" s="2" t="s">
        <v>988</v>
      </c>
      <c r="E1704" s="2" t="s">
        <v>15</v>
      </c>
      <c r="F1704" s="3">
        <v>156.45</v>
      </c>
      <c r="G1704" t="s">
        <v>83</v>
      </c>
      <c r="H1704" s="1" t="s">
        <v>69</v>
      </c>
      <c r="I1704" t="e">
        <f>-freight FOR cylinder REPAIR at Trimble</f>
        <v>#NAME?</v>
      </c>
      <c r="J1704" t="s">
        <v>271</v>
      </c>
      <c r="K1704" t="s">
        <v>272</v>
      </c>
      <c r="L1704" t="s">
        <v>273</v>
      </c>
    </row>
    <row r="1705" spans="1:14" ht="15">
      <c r="A1705" s="4">
        <v>201406</v>
      </c>
      <c r="B1705" t="s">
        <v>270</v>
      </c>
      <c r="C1705" s="5">
        <v>6547562</v>
      </c>
      <c r="D1705" s="2" t="s">
        <v>988</v>
      </c>
      <c r="E1705" s="2" t="s">
        <v>15</v>
      </c>
      <c r="F1705" s="3">
        <v>1.67</v>
      </c>
      <c r="G1705" t="s">
        <v>57</v>
      </c>
      <c r="H1705" s="1" t="s">
        <v>69</v>
      </c>
      <c r="I1705" t="e">
        <f>-16294/KY67758319/1</f>
        <v>#NAME?</v>
      </c>
      <c r="J1705" t="s">
        <v>271</v>
      </c>
      <c r="K1705" t="s">
        <v>272</v>
      </c>
      <c r="L1705" t="s">
        <v>273</v>
      </c>
      <c r="N1705" t="s">
        <v>58</v>
      </c>
    </row>
    <row r="1706" spans="1:12" ht="15">
      <c r="A1706" s="4">
        <v>201406</v>
      </c>
      <c r="B1706" t="s">
        <v>270</v>
      </c>
      <c r="C1706" s="5">
        <v>6547562</v>
      </c>
      <c r="D1706" s="2" t="s">
        <v>988</v>
      </c>
      <c r="E1706" s="2" t="s">
        <v>15</v>
      </c>
      <c r="F1706" s="3">
        <v>27.9</v>
      </c>
      <c r="G1706" t="s">
        <v>96</v>
      </c>
      <c r="H1706" s="1" t="s">
        <v>69</v>
      </c>
      <c r="I1706" t="e">
        <f>-freight</f>
        <v>#NAME?</v>
      </c>
      <c r="J1706" t="s">
        <v>271</v>
      </c>
      <c r="K1706" t="s">
        <v>272</v>
      </c>
      <c r="L1706" t="s">
        <v>273</v>
      </c>
    </row>
    <row r="1707" spans="1:14" ht="15">
      <c r="A1707" s="4">
        <v>201407</v>
      </c>
      <c r="B1707" t="s">
        <v>270</v>
      </c>
      <c r="C1707" s="5">
        <v>6547562</v>
      </c>
      <c r="D1707" s="2" t="s">
        <v>988</v>
      </c>
      <c r="E1707" s="2" t="s">
        <v>15</v>
      </c>
      <c r="F1707" s="3">
        <v>16.14</v>
      </c>
      <c r="G1707" t="s">
        <v>57</v>
      </c>
      <c r="H1707" s="1" t="s">
        <v>69</v>
      </c>
      <c r="I1707" t="e">
        <f>-53069/POI016613/1</f>
        <v>#NAME?</v>
      </c>
      <c r="J1707" t="s">
        <v>271</v>
      </c>
      <c r="K1707" t="s">
        <v>272</v>
      </c>
      <c r="L1707" t="s">
        <v>273</v>
      </c>
      <c r="N1707" t="s">
        <v>58</v>
      </c>
    </row>
    <row r="1708" spans="1:14" ht="15">
      <c r="A1708" s="4">
        <v>201407</v>
      </c>
      <c r="B1708" t="s">
        <v>270</v>
      </c>
      <c r="C1708" s="5">
        <v>6547562</v>
      </c>
      <c r="D1708" s="2" t="s">
        <v>988</v>
      </c>
      <c r="E1708" s="2" t="s">
        <v>15</v>
      </c>
      <c r="F1708" s="3">
        <v>111</v>
      </c>
      <c r="G1708" t="s">
        <v>57</v>
      </c>
      <c r="H1708" s="1" t="s">
        <v>69</v>
      </c>
      <c r="I1708" t="e">
        <f>-53069/POI018972/1</f>
        <v>#NAME?</v>
      </c>
      <c r="J1708" t="s">
        <v>271</v>
      </c>
      <c r="K1708" t="s">
        <v>272</v>
      </c>
      <c r="L1708" t="s">
        <v>273</v>
      </c>
      <c r="N1708" t="s">
        <v>58</v>
      </c>
    </row>
    <row r="1709" spans="1:12" ht="15">
      <c r="A1709" s="4">
        <v>201407</v>
      </c>
      <c r="B1709" t="s">
        <v>270</v>
      </c>
      <c r="C1709" s="5">
        <v>6547562</v>
      </c>
      <c r="D1709" s="2" t="s">
        <v>988</v>
      </c>
      <c r="E1709" s="2" t="s">
        <v>15</v>
      </c>
      <c r="F1709" s="3">
        <v>268.96</v>
      </c>
      <c r="G1709" t="s">
        <v>897</v>
      </c>
      <c r="H1709" s="1" t="s">
        <v>69</v>
      </c>
      <c r="I1709" t="e">
        <f>-freight</f>
        <v>#NAME?</v>
      </c>
      <c r="J1709" t="s">
        <v>271</v>
      </c>
      <c r="K1709" t="s">
        <v>272</v>
      </c>
      <c r="L1709" t="s">
        <v>273</v>
      </c>
    </row>
    <row r="1710" spans="1:12" ht="15">
      <c r="A1710" s="4">
        <v>201407</v>
      </c>
      <c r="B1710" t="s">
        <v>270</v>
      </c>
      <c r="C1710" s="5">
        <v>6547562</v>
      </c>
      <c r="D1710" s="2" t="s">
        <v>988</v>
      </c>
      <c r="E1710" s="2" t="s">
        <v>15</v>
      </c>
      <c r="F1710" s="3">
        <v>1850</v>
      </c>
      <c r="G1710" t="s">
        <v>897</v>
      </c>
      <c r="H1710" s="1" t="s">
        <v>69</v>
      </c>
      <c r="I1710" t="e">
        <f>-freight</f>
        <v>#NAME?</v>
      </c>
      <c r="J1710" t="s">
        <v>271</v>
      </c>
      <c r="K1710" t="s">
        <v>272</v>
      </c>
      <c r="L1710" t="s">
        <v>273</v>
      </c>
    </row>
    <row r="1711" spans="1:14" ht="15">
      <c r="A1711" s="4">
        <v>201411</v>
      </c>
      <c r="B1711" t="s">
        <v>270</v>
      </c>
      <c r="C1711" s="5">
        <v>6547562</v>
      </c>
      <c r="D1711" s="2" t="s">
        <v>988</v>
      </c>
      <c r="E1711" s="2" t="s">
        <v>15</v>
      </c>
      <c r="F1711" s="3">
        <v>6.07</v>
      </c>
      <c r="G1711" t="s">
        <v>57</v>
      </c>
      <c r="H1711" s="1" t="s">
        <v>69</v>
      </c>
      <c r="I1711" t="e">
        <f>-53069/POI019197/1</f>
        <v>#NAME?</v>
      </c>
      <c r="J1711" t="s">
        <v>271</v>
      </c>
      <c r="K1711" t="s">
        <v>272</v>
      </c>
      <c r="L1711" t="s">
        <v>273</v>
      </c>
      <c r="N1711" t="s">
        <v>58</v>
      </c>
    </row>
    <row r="1712" spans="1:12" ht="15">
      <c r="A1712" s="4">
        <v>201411</v>
      </c>
      <c r="B1712" t="s">
        <v>270</v>
      </c>
      <c r="C1712" s="5">
        <v>6547562</v>
      </c>
      <c r="D1712" s="2" t="s">
        <v>988</v>
      </c>
      <c r="E1712" s="2" t="s">
        <v>15</v>
      </c>
      <c r="F1712" s="3">
        <v>101.24</v>
      </c>
      <c r="G1712" t="s">
        <v>897</v>
      </c>
      <c r="H1712" s="1" t="s">
        <v>69</v>
      </c>
      <c r="I1712" t="e">
        <f>-freight</f>
        <v>#NAME?</v>
      </c>
      <c r="J1712" t="s">
        <v>271</v>
      </c>
      <c r="K1712" t="s">
        <v>272</v>
      </c>
      <c r="L1712" t="s">
        <v>273</v>
      </c>
    </row>
    <row r="1713" spans="1:12" ht="15">
      <c r="A1713" s="4">
        <v>201403</v>
      </c>
      <c r="B1713" t="s">
        <v>270</v>
      </c>
      <c r="C1713" s="5">
        <v>6547567</v>
      </c>
      <c r="D1713" s="2" t="s">
        <v>1033</v>
      </c>
      <c r="E1713" s="2" t="s">
        <v>15</v>
      </c>
      <c r="F1713" s="3">
        <v>5</v>
      </c>
      <c r="H1713" s="1" t="s">
        <v>14</v>
      </c>
      <c r="I1713" t="s">
        <v>336</v>
      </c>
      <c r="J1713" t="s">
        <v>271</v>
      </c>
      <c r="K1713" t="s">
        <v>272</v>
      </c>
      <c r="L1713" t="s">
        <v>273</v>
      </c>
    </row>
    <row r="1714" spans="1:12" ht="15">
      <c r="A1714" s="4">
        <v>201403</v>
      </c>
      <c r="B1714" t="s">
        <v>270</v>
      </c>
      <c r="C1714" s="5">
        <v>6547567</v>
      </c>
      <c r="D1714" s="2" t="s">
        <v>1033</v>
      </c>
      <c r="E1714" s="2" t="s">
        <v>15</v>
      </c>
      <c r="F1714" s="3">
        <v>5.5</v>
      </c>
      <c r="H1714" s="1" t="s">
        <v>14</v>
      </c>
      <c r="I1714" t="s">
        <v>377</v>
      </c>
      <c r="J1714" t="s">
        <v>271</v>
      </c>
      <c r="K1714" t="s">
        <v>272</v>
      </c>
      <c r="L1714" t="s">
        <v>273</v>
      </c>
    </row>
    <row r="1715" spans="1:12" ht="15">
      <c r="A1715" s="4">
        <v>201403</v>
      </c>
      <c r="B1715" t="s">
        <v>270</v>
      </c>
      <c r="C1715" s="5">
        <v>6547567</v>
      </c>
      <c r="D1715" s="2" t="s">
        <v>1033</v>
      </c>
      <c r="E1715" s="2" t="s">
        <v>15</v>
      </c>
      <c r="F1715" s="3">
        <v>6.55</v>
      </c>
      <c r="H1715" s="1" t="s">
        <v>14</v>
      </c>
      <c r="I1715" t="s">
        <v>27</v>
      </c>
      <c r="J1715" t="s">
        <v>271</v>
      </c>
      <c r="K1715" t="s">
        <v>272</v>
      </c>
      <c r="L1715" t="s">
        <v>273</v>
      </c>
    </row>
    <row r="1716" spans="1:12" ht="15">
      <c r="A1716" s="4">
        <v>201403</v>
      </c>
      <c r="B1716" t="s">
        <v>270</v>
      </c>
      <c r="C1716" s="5">
        <v>6547567</v>
      </c>
      <c r="D1716" s="2" t="s">
        <v>1033</v>
      </c>
      <c r="E1716" s="2" t="s">
        <v>15</v>
      </c>
      <c r="F1716" s="3">
        <v>17.11</v>
      </c>
      <c r="H1716" s="1" t="s">
        <v>14</v>
      </c>
      <c r="I1716" t="s">
        <v>263</v>
      </c>
      <c r="J1716" t="s">
        <v>271</v>
      </c>
      <c r="K1716" t="s">
        <v>272</v>
      </c>
      <c r="L1716" t="s">
        <v>273</v>
      </c>
    </row>
    <row r="1717" spans="1:12" ht="15">
      <c r="A1717" s="4">
        <v>201403</v>
      </c>
      <c r="B1717" t="s">
        <v>270</v>
      </c>
      <c r="C1717" s="5">
        <v>6547567</v>
      </c>
      <c r="D1717" s="2" t="s">
        <v>1033</v>
      </c>
      <c r="E1717" s="2" t="s">
        <v>15</v>
      </c>
      <c r="F1717" s="3">
        <v>35.44</v>
      </c>
      <c r="H1717" s="1" t="s">
        <v>14</v>
      </c>
      <c r="I1717" t="s">
        <v>106</v>
      </c>
      <c r="J1717" t="s">
        <v>271</v>
      </c>
      <c r="K1717" t="s">
        <v>272</v>
      </c>
      <c r="L1717" t="s">
        <v>273</v>
      </c>
    </row>
    <row r="1718" spans="1:12" ht="15">
      <c r="A1718" s="4">
        <v>201403</v>
      </c>
      <c r="B1718" t="s">
        <v>270</v>
      </c>
      <c r="C1718" s="5">
        <v>6547567</v>
      </c>
      <c r="D1718" s="2" t="s">
        <v>1033</v>
      </c>
      <c r="E1718" s="2" t="s">
        <v>15</v>
      </c>
      <c r="F1718" s="3">
        <v>44</v>
      </c>
      <c r="H1718" s="1" t="s">
        <v>14</v>
      </c>
      <c r="I1718" t="s">
        <v>390</v>
      </c>
      <c r="J1718" t="s">
        <v>271</v>
      </c>
      <c r="K1718" t="s">
        <v>272</v>
      </c>
      <c r="L1718" t="s">
        <v>273</v>
      </c>
    </row>
    <row r="1719" spans="1:12" ht="15">
      <c r="A1719" s="4">
        <v>201403</v>
      </c>
      <c r="B1719" t="s">
        <v>270</v>
      </c>
      <c r="C1719" s="5">
        <v>6547567</v>
      </c>
      <c r="D1719" s="2" t="s">
        <v>1033</v>
      </c>
      <c r="E1719" s="2" t="s">
        <v>15</v>
      </c>
      <c r="F1719" s="3">
        <v>159.5</v>
      </c>
      <c r="H1719" s="1" t="s">
        <v>14</v>
      </c>
      <c r="I1719" t="s">
        <v>89</v>
      </c>
      <c r="J1719" t="s">
        <v>271</v>
      </c>
      <c r="K1719" t="s">
        <v>272</v>
      </c>
      <c r="L1719" t="s">
        <v>273</v>
      </c>
    </row>
    <row r="1720" spans="1:12" ht="15">
      <c r="A1720" s="4">
        <v>201404</v>
      </c>
      <c r="B1720" t="s">
        <v>270</v>
      </c>
      <c r="C1720" s="5">
        <v>6547567</v>
      </c>
      <c r="D1720" s="2" t="s">
        <v>1033</v>
      </c>
      <c r="E1720" s="2" t="s">
        <v>15</v>
      </c>
      <c r="F1720" s="3">
        <v>0.55</v>
      </c>
      <c r="H1720" s="1" t="s">
        <v>14</v>
      </c>
      <c r="I1720" t="s">
        <v>1034</v>
      </c>
      <c r="J1720" t="s">
        <v>271</v>
      </c>
      <c r="K1720" t="s">
        <v>272</v>
      </c>
      <c r="L1720" t="s">
        <v>273</v>
      </c>
    </row>
    <row r="1721" spans="1:12" ht="15">
      <c r="A1721" s="4">
        <v>201404</v>
      </c>
      <c r="B1721" t="s">
        <v>270</v>
      </c>
      <c r="C1721" s="5">
        <v>6547567</v>
      </c>
      <c r="D1721" s="2" t="s">
        <v>1033</v>
      </c>
      <c r="E1721" s="2" t="s">
        <v>15</v>
      </c>
      <c r="F1721" s="3">
        <v>0.9</v>
      </c>
      <c r="H1721" s="1" t="s">
        <v>14</v>
      </c>
      <c r="I1721" t="s">
        <v>1035</v>
      </c>
      <c r="J1721" t="s">
        <v>271</v>
      </c>
      <c r="K1721" t="s">
        <v>272</v>
      </c>
      <c r="L1721" t="s">
        <v>273</v>
      </c>
    </row>
    <row r="1722" spans="1:12" ht="15">
      <c r="A1722" s="4">
        <v>201404</v>
      </c>
      <c r="B1722" t="s">
        <v>270</v>
      </c>
      <c r="C1722" s="5">
        <v>6547567</v>
      </c>
      <c r="D1722" s="2" t="s">
        <v>1033</v>
      </c>
      <c r="E1722" s="2" t="s">
        <v>15</v>
      </c>
      <c r="F1722" s="3">
        <v>0.91</v>
      </c>
      <c r="H1722" s="1" t="s">
        <v>14</v>
      </c>
      <c r="I1722" t="s">
        <v>21</v>
      </c>
      <c r="J1722" t="s">
        <v>271</v>
      </c>
      <c r="K1722" t="s">
        <v>272</v>
      </c>
      <c r="L1722" t="s">
        <v>273</v>
      </c>
    </row>
    <row r="1723" spans="1:12" ht="15">
      <c r="A1723" s="4">
        <v>201404</v>
      </c>
      <c r="B1723" t="s">
        <v>270</v>
      </c>
      <c r="C1723" s="5">
        <v>6547567</v>
      </c>
      <c r="D1723" s="2" t="s">
        <v>1033</v>
      </c>
      <c r="E1723" s="2" t="s">
        <v>15</v>
      </c>
      <c r="F1723" s="3">
        <v>9.27</v>
      </c>
      <c r="H1723" s="1" t="s">
        <v>14</v>
      </c>
      <c r="I1723" t="s">
        <v>505</v>
      </c>
      <c r="J1723" t="s">
        <v>271</v>
      </c>
      <c r="K1723" t="s">
        <v>272</v>
      </c>
      <c r="L1723" t="s">
        <v>273</v>
      </c>
    </row>
    <row r="1724" spans="1:12" ht="15">
      <c r="A1724" s="4">
        <v>201404</v>
      </c>
      <c r="B1724" t="s">
        <v>270</v>
      </c>
      <c r="C1724" s="5">
        <v>6547567</v>
      </c>
      <c r="D1724" s="2" t="s">
        <v>1033</v>
      </c>
      <c r="E1724" s="2" t="s">
        <v>15</v>
      </c>
      <c r="F1724" s="3">
        <v>9.7</v>
      </c>
      <c r="H1724" s="1" t="s">
        <v>14</v>
      </c>
      <c r="I1724" t="s">
        <v>658</v>
      </c>
      <c r="J1724" t="s">
        <v>271</v>
      </c>
      <c r="K1724" t="s">
        <v>272</v>
      </c>
      <c r="L1724" t="s">
        <v>273</v>
      </c>
    </row>
    <row r="1725" spans="1:12" ht="15">
      <c r="A1725" s="4">
        <v>201404</v>
      </c>
      <c r="B1725" t="s">
        <v>270</v>
      </c>
      <c r="C1725" s="5">
        <v>6547567</v>
      </c>
      <c r="D1725" s="2" t="s">
        <v>1033</v>
      </c>
      <c r="E1725" s="2" t="s">
        <v>15</v>
      </c>
      <c r="F1725" s="3">
        <v>16.56</v>
      </c>
      <c r="H1725" s="1" t="s">
        <v>14</v>
      </c>
      <c r="I1725" t="s">
        <v>960</v>
      </c>
      <c r="J1725" t="s">
        <v>271</v>
      </c>
      <c r="K1725" t="s">
        <v>272</v>
      </c>
      <c r="L1725" t="s">
        <v>273</v>
      </c>
    </row>
    <row r="1726" spans="1:12" ht="15">
      <c r="A1726" s="4">
        <v>201404</v>
      </c>
      <c r="B1726" t="s">
        <v>270</v>
      </c>
      <c r="C1726" s="5">
        <v>6547567</v>
      </c>
      <c r="D1726" s="2" t="s">
        <v>1033</v>
      </c>
      <c r="E1726" s="2" t="s">
        <v>15</v>
      </c>
      <c r="F1726" s="3">
        <v>19.9</v>
      </c>
      <c r="H1726" s="1" t="s">
        <v>14</v>
      </c>
      <c r="I1726" t="s">
        <v>384</v>
      </c>
      <c r="J1726" t="s">
        <v>271</v>
      </c>
      <c r="K1726" t="s">
        <v>272</v>
      </c>
      <c r="L1726" t="s">
        <v>273</v>
      </c>
    </row>
    <row r="1727" spans="1:12" ht="15">
      <c r="A1727" s="4">
        <v>201404</v>
      </c>
      <c r="B1727" t="s">
        <v>270</v>
      </c>
      <c r="C1727" s="5">
        <v>6547567</v>
      </c>
      <c r="D1727" s="2" t="s">
        <v>1033</v>
      </c>
      <c r="E1727" s="2" t="s">
        <v>15</v>
      </c>
      <c r="F1727" s="3">
        <v>80</v>
      </c>
      <c r="H1727" s="1" t="s">
        <v>14</v>
      </c>
      <c r="I1727" t="s">
        <v>991</v>
      </c>
      <c r="J1727" t="s">
        <v>271</v>
      </c>
      <c r="K1727" t="s">
        <v>272</v>
      </c>
      <c r="L1727" t="s">
        <v>273</v>
      </c>
    </row>
    <row r="1728" spans="1:12" ht="15">
      <c r="A1728" s="4">
        <v>201404</v>
      </c>
      <c r="B1728" t="s">
        <v>270</v>
      </c>
      <c r="C1728" s="5">
        <v>6547567</v>
      </c>
      <c r="D1728" s="2" t="s">
        <v>1033</v>
      </c>
      <c r="E1728" s="2" t="s">
        <v>15</v>
      </c>
      <c r="F1728" s="3">
        <v>80.89</v>
      </c>
      <c r="H1728" s="1" t="s">
        <v>14</v>
      </c>
      <c r="I1728" t="s">
        <v>263</v>
      </c>
      <c r="J1728" t="s">
        <v>271</v>
      </c>
      <c r="K1728" t="s">
        <v>272</v>
      </c>
      <c r="L1728" t="s">
        <v>273</v>
      </c>
    </row>
    <row r="1729" spans="1:12" ht="15">
      <c r="A1729" s="4">
        <v>201404</v>
      </c>
      <c r="B1729" t="s">
        <v>270</v>
      </c>
      <c r="C1729" s="5">
        <v>6547567</v>
      </c>
      <c r="D1729" s="2" t="s">
        <v>1033</v>
      </c>
      <c r="E1729" s="2" t="s">
        <v>15</v>
      </c>
      <c r="F1729" s="3">
        <v>915</v>
      </c>
      <c r="H1729" s="1" t="s">
        <v>14</v>
      </c>
      <c r="I1729" t="s">
        <v>1036</v>
      </c>
      <c r="J1729" t="s">
        <v>271</v>
      </c>
      <c r="K1729" t="s">
        <v>272</v>
      </c>
      <c r="L1729" t="s">
        <v>273</v>
      </c>
    </row>
    <row r="1730" spans="1:13" ht="15">
      <c r="A1730" s="4">
        <v>201406</v>
      </c>
      <c r="B1730" t="s">
        <v>270</v>
      </c>
      <c r="C1730" s="5">
        <v>6547567</v>
      </c>
      <c r="D1730" s="2" t="s">
        <v>1033</v>
      </c>
      <c r="E1730" s="2" t="s">
        <v>15</v>
      </c>
      <c r="F1730" s="3">
        <v>2801.83</v>
      </c>
      <c r="G1730" t="s">
        <v>897</v>
      </c>
      <c r="H1730" s="1" t="s">
        <v>44</v>
      </c>
      <c r="I1730" t="s">
        <v>1037</v>
      </c>
      <c r="J1730" t="s">
        <v>271</v>
      </c>
      <c r="K1730" t="s">
        <v>272</v>
      </c>
      <c r="L1730" t="s">
        <v>273</v>
      </c>
      <c r="M1730">
        <v>904622</v>
      </c>
    </row>
    <row r="1731" spans="1:13" ht="15">
      <c r="A1731" s="4">
        <v>201405</v>
      </c>
      <c r="B1731" t="s">
        <v>270</v>
      </c>
      <c r="C1731" s="5">
        <v>6547567</v>
      </c>
      <c r="D1731" s="2" t="s">
        <v>1033</v>
      </c>
      <c r="E1731" s="2" t="s">
        <v>15</v>
      </c>
      <c r="F1731" s="3">
        <v>1000.13</v>
      </c>
      <c r="G1731" t="s">
        <v>73</v>
      </c>
      <c r="H1731" s="1" t="s">
        <v>46</v>
      </c>
      <c r="I1731" t="s">
        <v>74</v>
      </c>
      <c r="J1731" t="s">
        <v>271</v>
      </c>
      <c r="K1731" t="s">
        <v>272</v>
      </c>
      <c r="L1731" t="s">
        <v>273</v>
      </c>
      <c r="M1731">
        <v>905953</v>
      </c>
    </row>
    <row r="1732" spans="1:13" ht="15">
      <c r="A1732" s="4">
        <v>201405</v>
      </c>
      <c r="B1732" t="s">
        <v>270</v>
      </c>
      <c r="C1732" s="5">
        <v>6547567</v>
      </c>
      <c r="D1732" s="2" t="s">
        <v>1033</v>
      </c>
      <c r="E1732" s="2" t="s">
        <v>15</v>
      </c>
      <c r="F1732" s="3">
        <v>9565.95</v>
      </c>
      <c r="G1732" t="s">
        <v>73</v>
      </c>
      <c r="H1732" s="1" t="s">
        <v>46</v>
      </c>
      <c r="I1732" t="s">
        <v>95</v>
      </c>
      <c r="J1732" t="s">
        <v>271</v>
      </c>
      <c r="K1732" t="s">
        <v>272</v>
      </c>
      <c r="L1732" t="s">
        <v>273</v>
      </c>
      <c r="M1732">
        <v>904872</v>
      </c>
    </row>
    <row r="1733" spans="1:13" ht="15">
      <c r="A1733" s="4">
        <v>201407</v>
      </c>
      <c r="B1733" t="s">
        <v>270</v>
      </c>
      <c r="C1733" s="5">
        <v>6547567</v>
      </c>
      <c r="D1733" s="2" t="s">
        <v>1033</v>
      </c>
      <c r="E1733" s="2" t="s">
        <v>15</v>
      </c>
      <c r="F1733" s="3">
        <v>336.58</v>
      </c>
      <c r="G1733" t="s">
        <v>73</v>
      </c>
      <c r="H1733" s="1" t="s">
        <v>46</v>
      </c>
      <c r="I1733" t="s">
        <v>75</v>
      </c>
      <c r="J1733" t="s">
        <v>271</v>
      </c>
      <c r="K1733" t="s">
        <v>272</v>
      </c>
      <c r="L1733" t="s">
        <v>273</v>
      </c>
      <c r="M1733">
        <v>908282</v>
      </c>
    </row>
    <row r="1734" spans="1:13" ht="15">
      <c r="A1734" s="4">
        <v>201408</v>
      </c>
      <c r="B1734" t="s">
        <v>270</v>
      </c>
      <c r="C1734" s="5">
        <v>6547567</v>
      </c>
      <c r="D1734" s="2" t="s">
        <v>1033</v>
      </c>
      <c r="E1734" s="2" t="s">
        <v>15</v>
      </c>
      <c r="F1734" s="3">
        <v>5906.58</v>
      </c>
      <c r="G1734" t="s">
        <v>73</v>
      </c>
      <c r="H1734" s="1" t="s">
        <v>46</v>
      </c>
      <c r="I1734" t="s">
        <v>122</v>
      </c>
      <c r="J1734" t="s">
        <v>271</v>
      </c>
      <c r="K1734" t="s">
        <v>272</v>
      </c>
      <c r="L1734" t="s">
        <v>273</v>
      </c>
      <c r="M1734">
        <v>910615</v>
      </c>
    </row>
    <row r="1735" spans="1:12" ht="15">
      <c r="A1735" s="4">
        <v>201403</v>
      </c>
      <c r="B1735" t="s">
        <v>270</v>
      </c>
      <c r="C1735" s="5">
        <v>6547567</v>
      </c>
      <c r="D1735" s="2" t="s">
        <v>1033</v>
      </c>
      <c r="E1735" s="2" t="s">
        <v>15</v>
      </c>
      <c r="F1735" s="3">
        <v>5352</v>
      </c>
      <c r="H1735" s="1" t="s">
        <v>60</v>
      </c>
      <c r="I1735" t="s">
        <v>1038</v>
      </c>
      <c r="J1735" t="s">
        <v>271</v>
      </c>
      <c r="K1735" t="s">
        <v>272</v>
      </c>
      <c r="L1735" t="s">
        <v>273</v>
      </c>
    </row>
    <row r="1736" spans="1:12" ht="15">
      <c r="A1736" s="4">
        <v>201404</v>
      </c>
      <c r="B1736" t="s">
        <v>270</v>
      </c>
      <c r="C1736" s="5">
        <v>6547567</v>
      </c>
      <c r="D1736" s="2" t="s">
        <v>1033</v>
      </c>
      <c r="E1736" s="2" t="s">
        <v>15</v>
      </c>
      <c r="F1736" s="3">
        <v>-5352</v>
      </c>
      <c r="H1736" s="1" t="s">
        <v>60</v>
      </c>
      <c r="I1736" t="s">
        <v>1038</v>
      </c>
      <c r="J1736" t="s">
        <v>271</v>
      </c>
      <c r="K1736" t="s">
        <v>272</v>
      </c>
      <c r="L1736" t="s">
        <v>273</v>
      </c>
    </row>
    <row r="1737" spans="1:14" ht="15">
      <c r="A1737" s="4">
        <v>201404</v>
      </c>
      <c r="B1737" t="s">
        <v>270</v>
      </c>
      <c r="C1737" s="5">
        <v>6547567</v>
      </c>
      <c r="D1737" s="2" t="s">
        <v>1033</v>
      </c>
      <c r="E1737" s="2" t="s">
        <v>15</v>
      </c>
      <c r="F1737" s="3">
        <v>80.52</v>
      </c>
      <c r="G1737" t="s">
        <v>57</v>
      </c>
      <c r="H1737" s="1" t="s">
        <v>60</v>
      </c>
      <c r="I1737" t="e">
        <f>-16294/KY67758572/1</f>
        <v>#NAME?</v>
      </c>
      <c r="J1737" t="s">
        <v>271</v>
      </c>
      <c r="K1737" t="s">
        <v>272</v>
      </c>
      <c r="L1737" t="s">
        <v>273</v>
      </c>
      <c r="N1737" t="s">
        <v>58</v>
      </c>
    </row>
    <row r="1738" spans="1:14" ht="15">
      <c r="A1738" s="4">
        <v>201404</v>
      </c>
      <c r="B1738" t="s">
        <v>270</v>
      </c>
      <c r="C1738" s="5">
        <v>6547567</v>
      </c>
      <c r="D1738" s="2" t="s">
        <v>1033</v>
      </c>
      <c r="E1738" s="2" t="s">
        <v>15</v>
      </c>
      <c r="F1738" s="3">
        <v>321.12</v>
      </c>
      <c r="G1738" t="s">
        <v>57</v>
      </c>
      <c r="H1738" s="1" t="s">
        <v>60</v>
      </c>
      <c r="I1738" t="e">
        <f>-53069/POI016996/1</f>
        <v>#NAME?</v>
      </c>
      <c r="J1738" t="s">
        <v>271</v>
      </c>
      <c r="K1738" t="s">
        <v>272</v>
      </c>
      <c r="L1738" t="s">
        <v>273</v>
      </c>
      <c r="N1738" t="s">
        <v>58</v>
      </c>
    </row>
    <row r="1739" spans="1:14" ht="15">
      <c r="A1739" s="4">
        <v>201404</v>
      </c>
      <c r="B1739" t="s">
        <v>270</v>
      </c>
      <c r="C1739" s="5">
        <v>6547567</v>
      </c>
      <c r="D1739" s="2" t="s">
        <v>1033</v>
      </c>
      <c r="E1739" s="2" t="s">
        <v>15</v>
      </c>
      <c r="F1739" s="3">
        <v>387.36</v>
      </c>
      <c r="G1739" t="s">
        <v>57</v>
      </c>
      <c r="H1739" s="1" t="s">
        <v>60</v>
      </c>
      <c r="I1739" t="e">
        <f>-53069/POI017215/1</f>
        <v>#NAME?</v>
      </c>
      <c r="J1739" t="s">
        <v>271</v>
      </c>
      <c r="K1739" t="s">
        <v>272</v>
      </c>
      <c r="L1739" t="s">
        <v>273</v>
      </c>
      <c r="N1739" t="s">
        <v>58</v>
      </c>
    </row>
    <row r="1740" spans="1:13" ht="15">
      <c r="A1740" s="4">
        <v>201404</v>
      </c>
      <c r="B1740" t="s">
        <v>270</v>
      </c>
      <c r="C1740" s="5">
        <v>6547567</v>
      </c>
      <c r="D1740" s="2" t="s">
        <v>1033</v>
      </c>
      <c r="E1740" s="2" t="s">
        <v>15</v>
      </c>
      <c r="F1740" s="3">
        <v>1341.92</v>
      </c>
      <c r="G1740" t="s">
        <v>96</v>
      </c>
      <c r="H1740" s="1" t="s">
        <v>60</v>
      </c>
      <c r="I1740" t="e">
        <f>-pump,FOOT OPER-Euro Press Pack</f>
        <v>#NAME?</v>
      </c>
      <c r="J1740" t="s">
        <v>271</v>
      </c>
      <c r="K1740" t="s">
        <v>272</v>
      </c>
      <c r="L1740" t="s">
        <v>273</v>
      </c>
      <c r="M1740">
        <v>902242</v>
      </c>
    </row>
    <row r="1741" spans="1:13" ht="15">
      <c r="A1741" s="4">
        <v>201404</v>
      </c>
      <c r="B1741" t="s">
        <v>270</v>
      </c>
      <c r="C1741" s="5">
        <v>6547567</v>
      </c>
      <c r="D1741" s="2" t="s">
        <v>1033</v>
      </c>
      <c r="E1741" s="2" t="s">
        <v>15</v>
      </c>
      <c r="F1741" s="3">
        <v>5352</v>
      </c>
      <c r="G1741" t="s">
        <v>897</v>
      </c>
      <c r="H1741" s="1" t="s">
        <v>60</v>
      </c>
      <c r="I1741" t="s">
        <v>1039</v>
      </c>
      <c r="J1741" t="s">
        <v>271</v>
      </c>
      <c r="K1741" t="s">
        <v>272</v>
      </c>
      <c r="L1741" t="s">
        <v>273</v>
      </c>
      <c r="M1741">
        <v>901340</v>
      </c>
    </row>
    <row r="1742" spans="1:13" ht="15">
      <c r="A1742" s="4">
        <v>201404</v>
      </c>
      <c r="B1742" t="s">
        <v>270</v>
      </c>
      <c r="C1742" s="5">
        <v>6547567</v>
      </c>
      <c r="D1742" s="2" t="s">
        <v>1033</v>
      </c>
      <c r="E1742" s="2" t="s">
        <v>15</v>
      </c>
      <c r="F1742" s="3">
        <v>6456</v>
      </c>
      <c r="G1742" t="s">
        <v>897</v>
      </c>
      <c r="H1742" s="1" t="s">
        <v>60</v>
      </c>
      <c r="I1742" t="e">
        <f>-Heating Element FOR inlet box</f>
        <v>#NAME?</v>
      </c>
      <c r="J1742" t="s">
        <v>271</v>
      </c>
      <c r="K1742" t="s">
        <v>272</v>
      </c>
      <c r="L1742" t="s">
        <v>273</v>
      </c>
      <c r="M1742">
        <v>902282</v>
      </c>
    </row>
    <row r="1743" spans="1:13" ht="15">
      <c r="A1743" s="4">
        <v>201405</v>
      </c>
      <c r="B1743" t="s">
        <v>270</v>
      </c>
      <c r="C1743" s="5">
        <v>6547567</v>
      </c>
      <c r="D1743" s="2" t="s">
        <v>1033</v>
      </c>
      <c r="E1743" s="2" t="s">
        <v>15</v>
      </c>
      <c r="F1743" s="3">
        <v>-13.42</v>
      </c>
      <c r="G1743" t="s">
        <v>96</v>
      </c>
      <c r="H1743" s="1" t="s">
        <v>60</v>
      </c>
      <c r="I1743" t="e">
        <f>-pump,FOOT OPER-Euro Press Pack</f>
        <v>#NAME?</v>
      </c>
      <c r="J1743" t="s">
        <v>271</v>
      </c>
      <c r="K1743" t="s">
        <v>272</v>
      </c>
      <c r="L1743" t="s">
        <v>273</v>
      </c>
      <c r="M1743">
        <v>902242</v>
      </c>
    </row>
    <row r="1744" spans="1:14" ht="15">
      <c r="A1744" s="4">
        <v>201406</v>
      </c>
      <c r="B1744" t="s">
        <v>270</v>
      </c>
      <c r="C1744" s="5">
        <v>6547567</v>
      </c>
      <c r="D1744" s="2" t="s">
        <v>1033</v>
      </c>
      <c r="E1744" s="2" t="s">
        <v>15</v>
      </c>
      <c r="F1744" s="3">
        <v>1824</v>
      </c>
      <c r="G1744" t="s">
        <v>57</v>
      </c>
      <c r="H1744" s="1" t="s">
        <v>60</v>
      </c>
      <c r="I1744" t="e">
        <f>-53069/POI018458/1</f>
        <v>#NAME?</v>
      </c>
      <c r="J1744" t="s">
        <v>271</v>
      </c>
      <c r="K1744" t="s">
        <v>272</v>
      </c>
      <c r="L1744" t="s">
        <v>273</v>
      </c>
      <c r="N1744" t="s">
        <v>58</v>
      </c>
    </row>
    <row r="1745" spans="1:13" ht="15">
      <c r="A1745" s="4">
        <v>201406</v>
      </c>
      <c r="B1745" t="s">
        <v>270</v>
      </c>
      <c r="C1745" s="5">
        <v>6547567</v>
      </c>
      <c r="D1745" s="2" t="s">
        <v>1033</v>
      </c>
      <c r="E1745" s="2" t="s">
        <v>15</v>
      </c>
      <c r="F1745" s="3">
        <v>30400</v>
      </c>
      <c r="G1745" t="s">
        <v>897</v>
      </c>
      <c r="H1745" s="1" t="s">
        <v>60</v>
      </c>
      <c r="I1745" t="e">
        <f>-Deflector Rings</f>
        <v>#NAME?</v>
      </c>
      <c r="J1745" t="s">
        <v>271</v>
      </c>
      <c r="K1745" t="s">
        <v>272</v>
      </c>
      <c r="L1745" t="s">
        <v>273</v>
      </c>
      <c r="M1745">
        <v>902282</v>
      </c>
    </row>
    <row r="1746" spans="1:12" ht="15">
      <c r="A1746" s="4">
        <v>201403</v>
      </c>
      <c r="B1746" t="s">
        <v>270</v>
      </c>
      <c r="C1746" s="5">
        <v>6547567</v>
      </c>
      <c r="D1746" s="2" t="s">
        <v>1033</v>
      </c>
      <c r="E1746" s="2" t="s">
        <v>15</v>
      </c>
      <c r="F1746" s="3">
        <v>36.27</v>
      </c>
      <c r="H1746" s="1" t="s">
        <v>66</v>
      </c>
      <c r="I1746" t="s">
        <v>67</v>
      </c>
      <c r="J1746" t="s">
        <v>271</v>
      </c>
      <c r="K1746" t="s">
        <v>272</v>
      </c>
      <c r="L1746" t="s">
        <v>273</v>
      </c>
    </row>
    <row r="1747" spans="1:12" ht="15">
      <c r="A1747" s="4">
        <v>201404</v>
      </c>
      <c r="B1747" t="s">
        <v>270</v>
      </c>
      <c r="C1747" s="5">
        <v>6547567</v>
      </c>
      <c r="D1747" s="2" t="s">
        <v>1033</v>
      </c>
      <c r="E1747" s="2" t="s">
        <v>15</v>
      </c>
      <c r="F1747" s="3">
        <v>23.54</v>
      </c>
      <c r="H1747" s="1" t="s">
        <v>66</v>
      </c>
      <c r="I1747" t="s">
        <v>67</v>
      </c>
      <c r="J1747" t="s">
        <v>271</v>
      </c>
      <c r="K1747" t="s">
        <v>272</v>
      </c>
      <c r="L1747" t="s">
        <v>273</v>
      </c>
    </row>
    <row r="1748" spans="1:12" ht="15">
      <c r="A1748" s="4">
        <v>201405</v>
      </c>
      <c r="B1748" t="s">
        <v>270</v>
      </c>
      <c r="C1748" s="5">
        <v>6547567</v>
      </c>
      <c r="D1748" s="2" t="s">
        <v>1033</v>
      </c>
      <c r="E1748" s="2" t="s">
        <v>15</v>
      </c>
      <c r="F1748" s="3">
        <v>0.45</v>
      </c>
      <c r="H1748" s="1" t="s">
        <v>66</v>
      </c>
      <c r="I1748" t="s">
        <v>67</v>
      </c>
      <c r="J1748" t="s">
        <v>271</v>
      </c>
      <c r="K1748" t="s">
        <v>272</v>
      </c>
      <c r="L1748" t="s">
        <v>273</v>
      </c>
    </row>
    <row r="1749" spans="1:12" ht="15">
      <c r="A1749" s="4">
        <v>201403</v>
      </c>
      <c r="B1749" t="s">
        <v>270</v>
      </c>
      <c r="C1749" s="5">
        <v>6547567</v>
      </c>
      <c r="D1749" s="2" t="s">
        <v>1033</v>
      </c>
      <c r="E1749" s="2" t="s">
        <v>15</v>
      </c>
      <c r="F1749" s="3">
        <v>0</v>
      </c>
      <c r="H1749" s="1" t="s">
        <v>68</v>
      </c>
      <c r="J1749" t="s">
        <v>271</v>
      </c>
      <c r="K1749" t="s">
        <v>272</v>
      </c>
      <c r="L1749" t="s">
        <v>273</v>
      </c>
    </row>
    <row r="1750" spans="1:12" ht="15">
      <c r="A1750" s="4">
        <v>201403</v>
      </c>
      <c r="B1750" t="s">
        <v>270</v>
      </c>
      <c r="C1750" s="5">
        <v>6547567</v>
      </c>
      <c r="D1750" s="2" t="s">
        <v>1033</v>
      </c>
      <c r="E1750" s="2" t="s">
        <v>15</v>
      </c>
      <c r="F1750" s="3">
        <v>0</v>
      </c>
      <c r="H1750" s="1" t="s">
        <v>68</v>
      </c>
      <c r="J1750" t="s">
        <v>271</v>
      </c>
      <c r="K1750" t="s">
        <v>272</v>
      </c>
      <c r="L1750" t="s">
        <v>273</v>
      </c>
    </row>
    <row r="1751" spans="1:12" ht="15">
      <c r="A1751" s="4">
        <v>201403</v>
      </c>
      <c r="B1751" t="s">
        <v>270</v>
      </c>
      <c r="C1751" s="5">
        <v>6547567</v>
      </c>
      <c r="D1751" s="2" t="s">
        <v>1033</v>
      </c>
      <c r="E1751" s="2" t="s">
        <v>15</v>
      </c>
      <c r="F1751" s="3">
        <v>0</v>
      </c>
      <c r="H1751" s="1" t="s">
        <v>68</v>
      </c>
      <c r="J1751" t="s">
        <v>271</v>
      </c>
      <c r="K1751" t="s">
        <v>272</v>
      </c>
      <c r="L1751" t="s">
        <v>273</v>
      </c>
    </row>
    <row r="1752" spans="1:12" ht="15">
      <c r="A1752" s="4">
        <v>201403</v>
      </c>
      <c r="B1752" t="s">
        <v>270</v>
      </c>
      <c r="C1752" s="5">
        <v>6547567</v>
      </c>
      <c r="D1752" s="2" t="s">
        <v>1033</v>
      </c>
      <c r="E1752" s="2" t="s">
        <v>15</v>
      </c>
      <c r="F1752" s="3">
        <v>0</v>
      </c>
      <c r="H1752" s="1" t="s">
        <v>68</v>
      </c>
      <c r="J1752" t="s">
        <v>271</v>
      </c>
      <c r="K1752" t="s">
        <v>272</v>
      </c>
      <c r="L1752" t="s">
        <v>273</v>
      </c>
    </row>
    <row r="1753" spans="1:12" ht="15">
      <c r="A1753" s="4">
        <v>201403</v>
      </c>
      <c r="B1753" t="s">
        <v>270</v>
      </c>
      <c r="C1753" s="5">
        <v>6547567</v>
      </c>
      <c r="D1753" s="2" t="s">
        <v>1033</v>
      </c>
      <c r="E1753" s="2" t="s">
        <v>15</v>
      </c>
      <c r="F1753" s="3">
        <v>0</v>
      </c>
      <c r="H1753" s="1" t="s">
        <v>68</v>
      </c>
      <c r="J1753" t="s">
        <v>271</v>
      </c>
      <c r="K1753" t="s">
        <v>272</v>
      </c>
      <c r="L1753" t="s">
        <v>273</v>
      </c>
    </row>
    <row r="1754" spans="1:12" ht="15">
      <c r="A1754" s="4">
        <v>201403</v>
      </c>
      <c r="B1754" t="s">
        <v>270</v>
      </c>
      <c r="C1754" s="5">
        <v>6547567</v>
      </c>
      <c r="D1754" s="2" t="s">
        <v>1033</v>
      </c>
      <c r="E1754" s="2" t="s">
        <v>15</v>
      </c>
      <c r="F1754" s="3">
        <v>66</v>
      </c>
      <c r="H1754" s="1" t="s">
        <v>68</v>
      </c>
      <c r="J1754" t="s">
        <v>271</v>
      </c>
      <c r="K1754" t="s">
        <v>272</v>
      </c>
      <c r="L1754" t="s">
        <v>273</v>
      </c>
    </row>
    <row r="1755" spans="1:12" ht="15">
      <c r="A1755" s="4">
        <v>201404</v>
      </c>
      <c r="B1755" t="s">
        <v>270</v>
      </c>
      <c r="C1755" s="5">
        <v>6547567</v>
      </c>
      <c r="D1755" s="2" t="s">
        <v>1033</v>
      </c>
      <c r="E1755" s="2" t="s">
        <v>15</v>
      </c>
      <c r="F1755" s="3">
        <v>0</v>
      </c>
      <c r="H1755" s="1" t="s">
        <v>68</v>
      </c>
      <c r="J1755" t="s">
        <v>271</v>
      </c>
      <c r="K1755" t="s">
        <v>272</v>
      </c>
      <c r="L1755" t="s">
        <v>273</v>
      </c>
    </row>
    <row r="1756" spans="1:12" ht="15">
      <c r="A1756" s="4">
        <v>201404</v>
      </c>
      <c r="B1756" t="s">
        <v>270</v>
      </c>
      <c r="C1756" s="5">
        <v>6547567</v>
      </c>
      <c r="D1756" s="2" t="s">
        <v>1033</v>
      </c>
      <c r="E1756" s="2" t="s">
        <v>15</v>
      </c>
      <c r="F1756" s="3">
        <v>0</v>
      </c>
      <c r="H1756" s="1" t="s">
        <v>68</v>
      </c>
      <c r="J1756" t="s">
        <v>271</v>
      </c>
      <c r="K1756" t="s">
        <v>272</v>
      </c>
      <c r="L1756" t="s">
        <v>273</v>
      </c>
    </row>
    <row r="1757" spans="1:12" ht="15">
      <c r="A1757" s="4">
        <v>201404</v>
      </c>
      <c r="B1757" t="s">
        <v>270</v>
      </c>
      <c r="C1757" s="5">
        <v>6547567</v>
      </c>
      <c r="D1757" s="2" t="s">
        <v>1033</v>
      </c>
      <c r="E1757" s="2" t="s">
        <v>15</v>
      </c>
      <c r="F1757" s="3">
        <v>0</v>
      </c>
      <c r="H1757" s="1" t="s">
        <v>68</v>
      </c>
      <c r="J1757" t="s">
        <v>271</v>
      </c>
      <c r="K1757" t="s">
        <v>272</v>
      </c>
      <c r="L1757" t="s">
        <v>273</v>
      </c>
    </row>
    <row r="1758" spans="1:12" ht="15">
      <c r="A1758" s="4">
        <v>201404</v>
      </c>
      <c r="B1758" t="s">
        <v>270</v>
      </c>
      <c r="C1758" s="5">
        <v>6547567</v>
      </c>
      <c r="D1758" s="2" t="s">
        <v>1033</v>
      </c>
      <c r="E1758" s="2" t="s">
        <v>15</v>
      </c>
      <c r="F1758" s="3">
        <v>30</v>
      </c>
      <c r="H1758" s="1" t="s">
        <v>68</v>
      </c>
      <c r="J1758" t="s">
        <v>271</v>
      </c>
      <c r="K1758" t="s">
        <v>272</v>
      </c>
      <c r="L1758" t="s">
        <v>273</v>
      </c>
    </row>
    <row r="1759" spans="1:12" ht="15">
      <c r="A1759" s="4">
        <v>201405</v>
      </c>
      <c r="B1759" t="s">
        <v>270</v>
      </c>
      <c r="C1759" s="5">
        <v>6547567</v>
      </c>
      <c r="D1759" s="2" t="s">
        <v>1033</v>
      </c>
      <c r="E1759" s="2" t="s">
        <v>15</v>
      </c>
      <c r="F1759" s="3">
        <v>0</v>
      </c>
      <c r="H1759" s="1" t="s">
        <v>68</v>
      </c>
      <c r="J1759" t="s">
        <v>271</v>
      </c>
      <c r="K1759" t="s">
        <v>272</v>
      </c>
      <c r="L1759" t="s">
        <v>273</v>
      </c>
    </row>
    <row r="1760" spans="1:12" ht="15">
      <c r="A1760" s="4">
        <v>201405</v>
      </c>
      <c r="B1760" t="s">
        <v>270</v>
      </c>
      <c r="C1760" s="5">
        <v>6547567</v>
      </c>
      <c r="D1760" s="2" t="s">
        <v>1033</v>
      </c>
      <c r="E1760" s="2" t="s">
        <v>15</v>
      </c>
      <c r="F1760" s="3">
        <v>6</v>
      </c>
      <c r="H1760" s="1" t="s">
        <v>68</v>
      </c>
      <c r="J1760" t="s">
        <v>271</v>
      </c>
      <c r="K1760" t="s">
        <v>272</v>
      </c>
      <c r="L1760" t="s">
        <v>273</v>
      </c>
    </row>
    <row r="1761" spans="1:14" ht="15">
      <c r="A1761" s="4">
        <v>201404</v>
      </c>
      <c r="B1761" t="s">
        <v>270</v>
      </c>
      <c r="C1761" s="5">
        <v>6547567</v>
      </c>
      <c r="D1761" s="2" t="s">
        <v>1033</v>
      </c>
      <c r="E1761" s="2" t="s">
        <v>15</v>
      </c>
      <c r="F1761" s="3">
        <v>4.67</v>
      </c>
      <c r="G1761" t="s">
        <v>57</v>
      </c>
      <c r="H1761" s="1" t="s">
        <v>69</v>
      </c>
      <c r="I1761" t="e">
        <f>-16294/KY67758572/1</f>
        <v>#NAME?</v>
      </c>
      <c r="J1761" t="s">
        <v>271</v>
      </c>
      <c r="K1761" t="s">
        <v>272</v>
      </c>
      <c r="L1761" t="s">
        <v>273</v>
      </c>
      <c r="N1761" t="s">
        <v>58</v>
      </c>
    </row>
    <row r="1762" spans="1:12" ht="15">
      <c r="A1762" s="4">
        <v>201404</v>
      </c>
      <c r="B1762" t="s">
        <v>270</v>
      </c>
      <c r="C1762" s="5">
        <v>6547567</v>
      </c>
      <c r="D1762" s="2" t="s">
        <v>1033</v>
      </c>
      <c r="E1762" s="2" t="s">
        <v>15</v>
      </c>
      <c r="F1762" s="3">
        <v>77.85</v>
      </c>
      <c r="G1762" t="s">
        <v>96</v>
      </c>
      <c r="H1762" s="1" t="s">
        <v>69</v>
      </c>
      <c r="I1762" t="e">
        <f>-freight</f>
        <v>#NAME?</v>
      </c>
      <c r="J1762" t="s">
        <v>271</v>
      </c>
      <c r="K1762" t="s">
        <v>272</v>
      </c>
      <c r="L1762" t="s">
        <v>273</v>
      </c>
    </row>
    <row r="1763" spans="1:14" ht="15">
      <c r="A1763" s="4">
        <v>201406</v>
      </c>
      <c r="B1763" t="s">
        <v>270</v>
      </c>
      <c r="C1763" s="5">
        <v>6547567</v>
      </c>
      <c r="D1763" s="2" t="s">
        <v>1033</v>
      </c>
      <c r="E1763" s="2" t="s">
        <v>15</v>
      </c>
      <c r="F1763" s="3">
        <v>148.44</v>
      </c>
      <c r="G1763" t="s">
        <v>57</v>
      </c>
      <c r="H1763" s="1" t="s">
        <v>69</v>
      </c>
      <c r="I1763" t="e">
        <f>-53069/POI018458/1</f>
        <v>#NAME?</v>
      </c>
      <c r="J1763" t="s">
        <v>271</v>
      </c>
      <c r="K1763" t="s">
        <v>272</v>
      </c>
      <c r="L1763" t="s">
        <v>273</v>
      </c>
      <c r="N1763" t="s">
        <v>58</v>
      </c>
    </row>
    <row r="1764" spans="1:12" ht="15">
      <c r="A1764" s="4">
        <v>201406</v>
      </c>
      <c r="B1764" t="s">
        <v>270</v>
      </c>
      <c r="C1764" s="5">
        <v>6547567</v>
      </c>
      <c r="D1764" s="2" t="s">
        <v>1033</v>
      </c>
      <c r="E1764" s="2" t="s">
        <v>15</v>
      </c>
      <c r="F1764" s="3">
        <v>2474</v>
      </c>
      <c r="G1764" t="s">
        <v>897</v>
      </c>
      <c r="H1764" s="1" t="s">
        <v>69</v>
      </c>
      <c r="I1764" t="e">
        <f>-freight</f>
        <v>#NAME?</v>
      </c>
      <c r="J1764" t="s">
        <v>271</v>
      </c>
      <c r="K1764" t="s">
        <v>272</v>
      </c>
      <c r="L1764" t="s">
        <v>273</v>
      </c>
    </row>
    <row r="1765" spans="1:12" ht="15">
      <c r="A1765" s="4">
        <v>201405</v>
      </c>
      <c r="B1765" t="s">
        <v>270</v>
      </c>
      <c r="C1765" s="5">
        <v>6547582</v>
      </c>
      <c r="D1765" s="2" t="s">
        <v>1040</v>
      </c>
      <c r="E1765" s="2" t="s">
        <v>15</v>
      </c>
      <c r="F1765" s="3">
        <v>13.1</v>
      </c>
      <c r="H1765" s="1" t="s">
        <v>14</v>
      </c>
      <c r="I1765" t="s">
        <v>27</v>
      </c>
      <c r="J1765" t="s">
        <v>271</v>
      </c>
      <c r="K1765" t="s">
        <v>272</v>
      </c>
      <c r="L1765" t="s">
        <v>273</v>
      </c>
    </row>
    <row r="1766" spans="1:12" ht="15">
      <c r="A1766" s="4">
        <v>201405</v>
      </c>
      <c r="B1766" t="s">
        <v>270</v>
      </c>
      <c r="C1766" s="5">
        <v>6547582</v>
      </c>
      <c r="D1766" s="2" t="s">
        <v>1040</v>
      </c>
      <c r="E1766" s="2" t="s">
        <v>15</v>
      </c>
      <c r="F1766" s="3">
        <v>136.13</v>
      </c>
      <c r="H1766" s="1" t="s">
        <v>14</v>
      </c>
      <c r="I1766" t="s">
        <v>117</v>
      </c>
      <c r="J1766" t="s">
        <v>271</v>
      </c>
      <c r="K1766" t="s">
        <v>272</v>
      </c>
      <c r="L1766" t="s">
        <v>273</v>
      </c>
    </row>
    <row r="1767" spans="1:12" ht="15">
      <c r="A1767" s="4">
        <v>201405</v>
      </c>
      <c r="B1767" t="s">
        <v>270</v>
      </c>
      <c r="C1767" s="5">
        <v>6547582</v>
      </c>
      <c r="D1767" s="2" t="s">
        <v>1040</v>
      </c>
      <c r="E1767" s="2" t="s">
        <v>15</v>
      </c>
      <c r="F1767" s="3">
        <v>270.56</v>
      </c>
      <c r="H1767" s="1" t="s">
        <v>14</v>
      </c>
      <c r="I1767" t="s">
        <v>118</v>
      </c>
      <c r="J1767" t="s">
        <v>271</v>
      </c>
      <c r="K1767" t="s">
        <v>272</v>
      </c>
      <c r="L1767" t="s">
        <v>273</v>
      </c>
    </row>
    <row r="1768" spans="1:12" ht="15">
      <c r="A1768" s="4">
        <v>201403</v>
      </c>
      <c r="B1768" t="s">
        <v>270</v>
      </c>
      <c r="C1768" s="5">
        <v>6548547</v>
      </c>
      <c r="D1768" s="2" t="s">
        <v>1041</v>
      </c>
      <c r="E1768" s="2" t="s">
        <v>15</v>
      </c>
      <c r="F1768" s="3">
        <v>35.44</v>
      </c>
      <c r="H1768" s="1" t="s">
        <v>14</v>
      </c>
      <c r="I1768" t="s">
        <v>106</v>
      </c>
      <c r="J1768" t="s">
        <v>271</v>
      </c>
      <c r="K1768" t="s">
        <v>272</v>
      </c>
      <c r="L1768" t="s">
        <v>273</v>
      </c>
    </row>
    <row r="1769" spans="1:13" ht="15">
      <c r="A1769" s="4">
        <v>201404</v>
      </c>
      <c r="B1769" t="s">
        <v>270</v>
      </c>
      <c r="C1769" s="5">
        <v>6548547</v>
      </c>
      <c r="D1769" s="2" t="s">
        <v>1041</v>
      </c>
      <c r="E1769" s="2" t="s">
        <v>15</v>
      </c>
      <c r="F1769" s="3">
        <v>4725</v>
      </c>
      <c r="G1769" t="s">
        <v>294</v>
      </c>
      <c r="H1769" s="1" t="s">
        <v>44</v>
      </c>
      <c r="I1769" t="s">
        <v>1042</v>
      </c>
      <c r="J1769" t="s">
        <v>271</v>
      </c>
      <c r="K1769" t="s">
        <v>272</v>
      </c>
      <c r="L1769" t="s">
        <v>273</v>
      </c>
      <c r="M1769">
        <v>903184</v>
      </c>
    </row>
    <row r="1770" spans="1:13" ht="15">
      <c r="A1770" s="4">
        <v>201406</v>
      </c>
      <c r="B1770" t="s">
        <v>270</v>
      </c>
      <c r="C1770" s="5">
        <v>6548547</v>
      </c>
      <c r="D1770" s="2" t="s">
        <v>1041</v>
      </c>
      <c r="E1770" s="2" t="s">
        <v>15</v>
      </c>
      <c r="F1770" s="3">
        <v>27343.9</v>
      </c>
      <c r="G1770" t="s">
        <v>294</v>
      </c>
      <c r="H1770" s="1" t="s">
        <v>44</v>
      </c>
      <c r="I1770" t="s">
        <v>1043</v>
      </c>
      <c r="J1770" t="s">
        <v>271</v>
      </c>
      <c r="K1770" t="s">
        <v>272</v>
      </c>
      <c r="L1770" t="s">
        <v>273</v>
      </c>
      <c r="M1770">
        <v>906307</v>
      </c>
    </row>
    <row r="1771" spans="1:12" ht="15">
      <c r="A1771" s="4">
        <v>201403</v>
      </c>
      <c r="B1771" t="s">
        <v>270</v>
      </c>
      <c r="C1771" s="5">
        <v>6548547</v>
      </c>
      <c r="D1771" s="2" t="s">
        <v>1041</v>
      </c>
      <c r="E1771" s="2" t="s">
        <v>15</v>
      </c>
      <c r="F1771" s="3">
        <v>2.04</v>
      </c>
      <c r="H1771" s="1" t="s">
        <v>66</v>
      </c>
      <c r="I1771" t="s">
        <v>67</v>
      </c>
      <c r="J1771" t="s">
        <v>271</v>
      </c>
      <c r="K1771" t="s">
        <v>272</v>
      </c>
      <c r="L1771" t="s">
        <v>273</v>
      </c>
    </row>
    <row r="1772" spans="1:12" ht="15">
      <c r="A1772" s="4">
        <v>201404</v>
      </c>
      <c r="B1772" t="s">
        <v>270</v>
      </c>
      <c r="C1772" s="5">
        <v>6548746</v>
      </c>
      <c r="D1772" s="2" t="s">
        <v>1044</v>
      </c>
      <c r="E1772" s="2" t="s">
        <v>15</v>
      </c>
      <c r="F1772" s="3">
        <v>0.99</v>
      </c>
      <c r="H1772" s="1" t="s">
        <v>66</v>
      </c>
      <c r="I1772" t="s">
        <v>67</v>
      </c>
      <c r="J1772" t="s">
        <v>271</v>
      </c>
      <c r="K1772" t="s">
        <v>272</v>
      </c>
      <c r="L1772" t="s">
        <v>273</v>
      </c>
    </row>
    <row r="1773" spans="1:12" ht="15">
      <c r="A1773" s="4">
        <v>201404</v>
      </c>
      <c r="B1773" t="s">
        <v>270</v>
      </c>
      <c r="C1773" s="5">
        <v>6548753</v>
      </c>
      <c r="D1773" s="2" t="s">
        <v>1045</v>
      </c>
      <c r="E1773" s="2" t="s">
        <v>15</v>
      </c>
      <c r="F1773" s="3">
        <v>162.03</v>
      </c>
      <c r="G1773" t="s">
        <v>83</v>
      </c>
      <c r="H1773" s="1" t="s">
        <v>69</v>
      </c>
      <c r="I1773" t="e">
        <f>-freight FOR SEAL REPAIR at Trimble</f>
        <v>#NAME?</v>
      </c>
      <c r="J1773" t="s">
        <v>271</v>
      </c>
      <c r="K1773" t="s">
        <v>272</v>
      </c>
      <c r="L1773" t="s">
        <v>273</v>
      </c>
    </row>
    <row r="1774" spans="1:12" ht="15">
      <c r="A1774" s="4">
        <v>201404</v>
      </c>
      <c r="B1774" t="s">
        <v>270</v>
      </c>
      <c r="C1774" s="5">
        <v>6548755</v>
      </c>
      <c r="D1774" s="2" t="s">
        <v>1046</v>
      </c>
      <c r="E1774" s="2" t="s">
        <v>15</v>
      </c>
      <c r="F1774" s="3">
        <v>0.99</v>
      </c>
      <c r="H1774" s="1" t="s">
        <v>66</v>
      </c>
      <c r="I1774" t="s">
        <v>67</v>
      </c>
      <c r="J1774" t="s">
        <v>271</v>
      </c>
      <c r="K1774" t="s">
        <v>272</v>
      </c>
      <c r="L1774" t="s">
        <v>273</v>
      </c>
    </row>
    <row r="1775" spans="1:12" ht="15">
      <c r="A1775" s="4">
        <v>201404</v>
      </c>
      <c r="B1775" t="s">
        <v>270</v>
      </c>
      <c r="C1775" s="5">
        <v>6549593</v>
      </c>
      <c r="D1775" s="2" t="s">
        <v>1047</v>
      </c>
      <c r="E1775" s="2" t="s">
        <v>15</v>
      </c>
      <c r="F1775" s="3">
        <v>9</v>
      </c>
      <c r="H1775" s="1" t="s">
        <v>14</v>
      </c>
      <c r="I1775" t="s">
        <v>80</v>
      </c>
      <c r="J1775" t="s">
        <v>271</v>
      </c>
      <c r="K1775" t="s">
        <v>272</v>
      </c>
      <c r="L1775" t="s">
        <v>273</v>
      </c>
    </row>
    <row r="1776" spans="1:12" ht="15">
      <c r="A1776" s="4">
        <v>201404</v>
      </c>
      <c r="B1776" t="s">
        <v>270</v>
      </c>
      <c r="C1776" s="5">
        <v>6549593</v>
      </c>
      <c r="D1776" s="2" t="s">
        <v>1047</v>
      </c>
      <c r="E1776" s="2" t="s">
        <v>15</v>
      </c>
      <c r="F1776" s="3">
        <v>16.77</v>
      </c>
      <c r="H1776" s="1" t="s">
        <v>14</v>
      </c>
      <c r="I1776" t="s">
        <v>1048</v>
      </c>
      <c r="J1776" t="s">
        <v>271</v>
      </c>
      <c r="K1776" t="s">
        <v>272</v>
      </c>
      <c r="L1776" t="s">
        <v>273</v>
      </c>
    </row>
    <row r="1777" spans="1:12" ht="15">
      <c r="A1777" s="4">
        <v>201404</v>
      </c>
      <c r="B1777" t="s">
        <v>270</v>
      </c>
      <c r="C1777" s="5">
        <v>6549593</v>
      </c>
      <c r="D1777" s="2" t="s">
        <v>1047</v>
      </c>
      <c r="E1777" s="2" t="s">
        <v>15</v>
      </c>
      <c r="F1777" s="3">
        <v>34.33</v>
      </c>
      <c r="H1777" s="1" t="s">
        <v>14</v>
      </c>
      <c r="I1777" t="s">
        <v>89</v>
      </c>
      <c r="J1777" t="s">
        <v>271</v>
      </c>
      <c r="K1777" t="s">
        <v>272</v>
      </c>
      <c r="L1777" t="s">
        <v>273</v>
      </c>
    </row>
    <row r="1778" spans="1:13" ht="15">
      <c r="A1778" s="4">
        <v>201405</v>
      </c>
      <c r="B1778" t="s">
        <v>270</v>
      </c>
      <c r="C1778" s="5">
        <v>6549593</v>
      </c>
      <c r="D1778" s="2" t="s">
        <v>1047</v>
      </c>
      <c r="E1778" s="2" t="s">
        <v>15</v>
      </c>
      <c r="F1778" s="3">
        <v>359.87</v>
      </c>
      <c r="G1778" t="s">
        <v>47</v>
      </c>
      <c r="H1778" s="1" t="s">
        <v>46</v>
      </c>
      <c r="I1778" t="s">
        <v>51</v>
      </c>
      <c r="J1778" t="s">
        <v>271</v>
      </c>
      <c r="K1778" t="s">
        <v>272</v>
      </c>
      <c r="L1778" t="s">
        <v>273</v>
      </c>
      <c r="M1778">
        <v>905956</v>
      </c>
    </row>
    <row r="1779" spans="1:13" ht="15">
      <c r="A1779" s="4">
        <v>201405</v>
      </c>
      <c r="B1779" t="s">
        <v>270</v>
      </c>
      <c r="C1779" s="5">
        <v>6549593</v>
      </c>
      <c r="D1779" s="2" t="s">
        <v>1047</v>
      </c>
      <c r="E1779" s="2" t="s">
        <v>15</v>
      </c>
      <c r="F1779" s="3">
        <v>366.68</v>
      </c>
      <c r="G1779" t="s">
        <v>47</v>
      </c>
      <c r="H1779" s="1" t="s">
        <v>46</v>
      </c>
      <c r="I1779" t="s">
        <v>53</v>
      </c>
      <c r="J1779" t="s">
        <v>271</v>
      </c>
      <c r="K1779" t="s">
        <v>272</v>
      </c>
      <c r="L1779" t="s">
        <v>273</v>
      </c>
      <c r="M1779">
        <v>905670</v>
      </c>
    </row>
    <row r="1780" spans="1:13" ht="15">
      <c r="A1780" s="4">
        <v>201405</v>
      </c>
      <c r="B1780" t="s">
        <v>270</v>
      </c>
      <c r="C1780" s="5">
        <v>6549593</v>
      </c>
      <c r="D1780" s="2" t="s">
        <v>1047</v>
      </c>
      <c r="E1780" s="2" t="s">
        <v>15</v>
      </c>
      <c r="F1780" s="3">
        <v>1932.84</v>
      </c>
      <c r="G1780" t="s">
        <v>47</v>
      </c>
      <c r="H1780" s="1" t="s">
        <v>46</v>
      </c>
      <c r="I1780" t="s">
        <v>54</v>
      </c>
      <c r="J1780" t="s">
        <v>271</v>
      </c>
      <c r="K1780" t="s">
        <v>272</v>
      </c>
      <c r="L1780" t="s">
        <v>273</v>
      </c>
      <c r="M1780">
        <v>905365</v>
      </c>
    </row>
    <row r="1781" spans="1:14" ht="15">
      <c r="A1781" s="4">
        <v>201404</v>
      </c>
      <c r="B1781" t="s">
        <v>270</v>
      </c>
      <c r="C1781" s="5">
        <v>6549593</v>
      </c>
      <c r="D1781" s="2" t="s">
        <v>1047</v>
      </c>
      <c r="E1781" s="2" t="s">
        <v>15</v>
      </c>
      <c r="F1781" s="3">
        <v>71.87</v>
      </c>
      <c r="G1781" t="s">
        <v>57</v>
      </c>
      <c r="H1781" s="1" t="s">
        <v>60</v>
      </c>
      <c r="I1781" t="e">
        <f>-71949/Q629/1</f>
        <v>#DIV/0!</v>
      </c>
      <c r="J1781" t="s">
        <v>271</v>
      </c>
      <c r="K1781" t="s">
        <v>272</v>
      </c>
      <c r="L1781" t="s">
        <v>273</v>
      </c>
      <c r="N1781" t="s">
        <v>58</v>
      </c>
    </row>
    <row r="1782" spans="1:13" ht="15">
      <c r="A1782" s="4">
        <v>201404</v>
      </c>
      <c r="B1782" t="s">
        <v>270</v>
      </c>
      <c r="C1782" s="5">
        <v>6549593</v>
      </c>
      <c r="D1782" s="2" t="s">
        <v>1047</v>
      </c>
      <c r="E1782" s="2" t="s">
        <v>15</v>
      </c>
      <c r="F1782" s="3">
        <v>238.5</v>
      </c>
      <c r="G1782" t="s">
        <v>579</v>
      </c>
      <c r="H1782" s="1" t="s">
        <v>60</v>
      </c>
      <c r="I1782" t="s">
        <v>1049</v>
      </c>
      <c r="J1782" t="s">
        <v>271</v>
      </c>
      <c r="K1782" t="s">
        <v>272</v>
      </c>
      <c r="L1782" t="s">
        <v>273</v>
      </c>
      <c r="M1782">
        <v>902630</v>
      </c>
    </row>
    <row r="1783" spans="1:13" ht="15">
      <c r="A1783" s="4">
        <v>201404</v>
      </c>
      <c r="B1783" t="s">
        <v>270</v>
      </c>
      <c r="C1783" s="5">
        <v>6549593</v>
      </c>
      <c r="D1783" s="2" t="s">
        <v>1047</v>
      </c>
      <c r="E1783" s="2" t="s">
        <v>15</v>
      </c>
      <c r="F1783" s="3">
        <v>959.4</v>
      </c>
      <c r="G1783" t="s">
        <v>579</v>
      </c>
      <c r="H1783" s="1" t="s">
        <v>60</v>
      </c>
      <c r="I1783" t="s">
        <v>1050</v>
      </c>
      <c r="J1783" t="s">
        <v>271</v>
      </c>
      <c r="K1783" t="s">
        <v>272</v>
      </c>
      <c r="L1783" t="s">
        <v>273</v>
      </c>
      <c r="M1783">
        <v>902630</v>
      </c>
    </row>
    <row r="1784" spans="1:14" ht="15">
      <c r="A1784" s="4">
        <v>201405</v>
      </c>
      <c r="B1784" t="s">
        <v>270</v>
      </c>
      <c r="C1784" s="5">
        <v>6549593</v>
      </c>
      <c r="D1784" s="2" t="s">
        <v>1047</v>
      </c>
      <c r="E1784" s="2" t="s">
        <v>15</v>
      </c>
      <c r="F1784" s="3">
        <v>11.7</v>
      </c>
      <c r="G1784" t="s">
        <v>57</v>
      </c>
      <c r="H1784" s="1" t="s">
        <v>60</v>
      </c>
      <c r="I1784">
        <f>-23426/3879547999/1</f>
        <v>-6.038332302123426E-06</v>
      </c>
      <c r="J1784" t="s">
        <v>271</v>
      </c>
      <c r="K1784" t="s">
        <v>272</v>
      </c>
      <c r="L1784" t="s">
        <v>273</v>
      </c>
      <c r="N1784" t="s">
        <v>58</v>
      </c>
    </row>
    <row r="1785" spans="1:14" ht="15">
      <c r="A1785" s="4">
        <v>201405</v>
      </c>
      <c r="B1785" t="s">
        <v>270</v>
      </c>
      <c r="C1785" s="5">
        <v>6549593</v>
      </c>
      <c r="D1785" s="2" t="s">
        <v>1047</v>
      </c>
      <c r="E1785" s="2" t="s">
        <v>15</v>
      </c>
      <c r="F1785" s="3">
        <v>12.4</v>
      </c>
      <c r="G1785" t="s">
        <v>57</v>
      </c>
      <c r="H1785" s="1" t="s">
        <v>60</v>
      </c>
      <c r="I1785">
        <f>-23426/3879547001/1</f>
        <v>-6.0383338554634515E-06</v>
      </c>
      <c r="J1785" t="s">
        <v>271</v>
      </c>
      <c r="K1785" t="s">
        <v>272</v>
      </c>
      <c r="L1785" t="s">
        <v>273</v>
      </c>
      <c r="N1785" t="s">
        <v>58</v>
      </c>
    </row>
    <row r="1786" spans="1:13" ht="15">
      <c r="A1786" s="4">
        <v>201405</v>
      </c>
      <c r="B1786" t="s">
        <v>270</v>
      </c>
      <c r="C1786" s="5">
        <v>6549593</v>
      </c>
      <c r="D1786" s="2" t="s">
        <v>1047</v>
      </c>
      <c r="E1786" s="2" t="s">
        <v>15</v>
      </c>
      <c r="F1786" s="3">
        <v>19.44</v>
      </c>
      <c r="G1786" t="s">
        <v>76</v>
      </c>
      <c r="H1786" s="1" t="s">
        <v>60</v>
      </c>
      <c r="I1786" t="s">
        <v>1051</v>
      </c>
      <c r="J1786" t="s">
        <v>271</v>
      </c>
      <c r="K1786" t="s">
        <v>272</v>
      </c>
      <c r="L1786" t="s">
        <v>273</v>
      </c>
      <c r="M1786">
        <v>905436</v>
      </c>
    </row>
    <row r="1787" spans="1:14" ht="15">
      <c r="A1787" s="4">
        <v>201405</v>
      </c>
      <c r="B1787" t="s">
        <v>270</v>
      </c>
      <c r="C1787" s="5">
        <v>6549593</v>
      </c>
      <c r="D1787" s="2" t="s">
        <v>1047</v>
      </c>
      <c r="E1787" s="2" t="s">
        <v>15</v>
      </c>
      <c r="F1787" s="3">
        <v>57.01</v>
      </c>
      <c r="G1787" t="s">
        <v>57</v>
      </c>
      <c r="H1787" s="1" t="s">
        <v>60</v>
      </c>
      <c r="I1787" t="e">
        <f>-66830/KYCAR46493/1</f>
        <v>#NAME?</v>
      </c>
      <c r="J1787" t="s">
        <v>271</v>
      </c>
      <c r="K1787" t="s">
        <v>272</v>
      </c>
      <c r="L1787" t="s">
        <v>273</v>
      </c>
      <c r="N1787" t="s">
        <v>58</v>
      </c>
    </row>
    <row r="1788" spans="1:13" ht="15">
      <c r="A1788" s="4">
        <v>201405</v>
      </c>
      <c r="B1788" t="s">
        <v>270</v>
      </c>
      <c r="C1788" s="5">
        <v>6549593</v>
      </c>
      <c r="D1788" s="2" t="s">
        <v>1047</v>
      </c>
      <c r="E1788" s="2" t="s">
        <v>15</v>
      </c>
      <c r="F1788" s="3">
        <v>79.5</v>
      </c>
      <c r="G1788" t="s">
        <v>109</v>
      </c>
      <c r="H1788" s="1" t="s">
        <v>60</v>
      </c>
      <c r="I1788" t="s">
        <v>1052</v>
      </c>
      <c r="J1788" t="s">
        <v>271</v>
      </c>
      <c r="K1788" t="s">
        <v>272</v>
      </c>
      <c r="L1788" t="s">
        <v>273</v>
      </c>
      <c r="M1788">
        <v>904633</v>
      </c>
    </row>
    <row r="1789" spans="1:13" ht="15">
      <c r="A1789" s="4">
        <v>201405</v>
      </c>
      <c r="B1789" t="s">
        <v>270</v>
      </c>
      <c r="C1789" s="5">
        <v>6549593</v>
      </c>
      <c r="D1789" s="2" t="s">
        <v>1047</v>
      </c>
      <c r="E1789" s="2" t="s">
        <v>15</v>
      </c>
      <c r="F1789" s="3">
        <v>119</v>
      </c>
      <c r="G1789" t="s">
        <v>109</v>
      </c>
      <c r="H1789" s="1" t="s">
        <v>60</v>
      </c>
      <c r="I1789" t="s">
        <v>1053</v>
      </c>
      <c r="J1789" t="s">
        <v>271</v>
      </c>
      <c r="K1789" t="s">
        <v>272</v>
      </c>
      <c r="L1789" t="s">
        <v>273</v>
      </c>
      <c r="M1789">
        <v>904633</v>
      </c>
    </row>
    <row r="1790" spans="1:13" ht="15">
      <c r="A1790" s="4">
        <v>201405</v>
      </c>
      <c r="B1790" t="s">
        <v>270</v>
      </c>
      <c r="C1790" s="5">
        <v>6549593</v>
      </c>
      <c r="D1790" s="2" t="s">
        <v>1047</v>
      </c>
      <c r="E1790" s="2" t="s">
        <v>15</v>
      </c>
      <c r="F1790" s="3">
        <v>173.94</v>
      </c>
      <c r="G1790" t="s">
        <v>109</v>
      </c>
      <c r="H1790" s="1" t="s">
        <v>60</v>
      </c>
      <c r="I1790" t="s">
        <v>1054</v>
      </c>
      <c r="J1790" t="s">
        <v>271</v>
      </c>
      <c r="K1790" t="s">
        <v>272</v>
      </c>
      <c r="L1790" t="s">
        <v>273</v>
      </c>
      <c r="M1790">
        <v>904633</v>
      </c>
    </row>
    <row r="1791" spans="1:13" ht="15">
      <c r="A1791" s="4">
        <v>201405</v>
      </c>
      <c r="B1791" t="s">
        <v>270</v>
      </c>
      <c r="C1791" s="5">
        <v>6549593</v>
      </c>
      <c r="D1791" s="2" t="s">
        <v>1047</v>
      </c>
      <c r="E1791" s="2" t="s">
        <v>15</v>
      </c>
      <c r="F1791" s="3">
        <v>187.2</v>
      </c>
      <c r="G1791" t="s">
        <v>76</v>
      </c>
      <c r="H1791" s="1" t="s">
        <v>60</v>
      </c>
      <c r="I1791" t="s">
        <v>1055</v>
      </c>
      <c r="J1791" t="s">
        <v>271</v>
      </c>
      <c r="K1791" t="s">
        <v>272</v>
      </c>
      <c r="L1791" t="s">
        <v>273</v>
      </c>
      <c r="M1791">
        <v>905436</v>
      </c>
    </row>
    <row r="1792" spans="1:13" ht="15">
      <c r="A1792" s="4">
        <v>201405</v>
      </c>
      <c r="B1792" t="s">
        <v>270</v>
      </c>
      <c r="C1792" s="5">
        <v>6549593</v>
      </c>
      <c r="D1792" s="2" t="s">
        <v>1047</v>
      </c>
      <c r="E1792" s="2" t="s">
        <v>15</v>
      </c>
      <c r="F1792" s="3">
        <v>195.04</v>
      </c>
      <c r="G1792" t="s">
        <v>76</v>
      </c>
      <c r="H1792" s="1" t="s">
        <v>60</v>
      </c>
      <c r="I1792" t="s">
        <v>1056</v>
      </c>
      <c r="J1792" t="s">
        <v>271</v>
      </c>
      <c r="K1792" t="s">
        <v>272</v>
      </c>
      <c r="L1792" t="s">
        <v>273</v>
      </c>
      <c r="M1792">
        <v>905436</v>
      </c>
    </row>
    <row r="1793" spans="1:13" ht="15">
      <c r="A1793" s="4">
        <v>201405</v>
      </c>
      <c r="B1793" t="s">
        <v>270</v>
      </c>
      <c r="C1793" s="5">
        <v>6549593</v>
      </c>
      <c r="D1793" s="2" t="s">
        <v>1047</v>
      </c>
      <c r="E1793" s="2" t="s">
        <v>15</v>
      </c>
      <c r="F1793" s="3">
        <v>270</v>
      </c>
      <c r="G1793" t="s">
        <v>109</v>
      </c>
      <c r="H1793" s="1" t="s">
        <v>60</v>
      </c>
      <c r="I1793" t="s">
        <v>1057</v>
      </c>
      <c r="J1793" t="s">
        <v>271</v>
      </c>
      <c r="K1793" t="s">
        <v>272</v>
      </c>
      <c r="L1793" t="s">
        <v>273</v>
      </c>
      <c r="M1793">
        <v>904633</v>
      </c>
    </row>
    <row r="1794" spans="1:13" ht="15">
      <c r="A1794" s="4">
        <v>201405</v>
      </c>
      <c r="B1794" t="s">
        <v>270</v>
      </c>
      <c r="C1794" s="5">
        <v>6549593</v>
      </c>
      <c r="D1794" s="2" t="s">
        <v>1047</v>
      </c>
      <c r="E1794" s="2" t="s">
        <v>15</v>
      </c>
      <c r="F1794" s="3">
        <v>307.7</v>
      </c>
      <c r="G1794" t="s">
        <v>109</v>
      </c>
      <c r="H1794" s="1" t="s">
        <v>60</v>
      </c>
      <c r="I1794" t="s">
        <v>1058</v>
      </c>
      <c r="J1794" t="s">
        <v>271</v>
      </c>
      <c r="K1794" t="s">
        <v>272</v>
      </c>
      <c r="L1794" t="s">
        <v>273</v>
      </c>
      <c r="M1794">
        <v>904633</v>
      </c>
    </row>
    <row r="1795" spans="1:14" ht="15">
      <c r="A1795" s="4">
        <v>201404</v>
      </c>
      <c r="B1795" t="s">
        <v>270</v>
      </c>
      <c r="C1795" s="5">
        <v>6549593</v>
      </c>
      <c r="D1795" s="2" t="s">
        <v>1047</v>
      </c>
      <c r="E1795" s="2" t="s">
        <v>15</v>
      </c>
      <c r="F1795" s="3">
        <v>7.45</v>
      </c>
      <c r="G1795" t="s">
        <v>57</v>
      </c>
      <c r="H1795" s="1" t="s">
        <v>69</v>
      </c>
      <c r="I1795" t="e">
        <f>-71949/Q629/1</f>
        <v>#DIV/0!</v>
      </c>
      <c r="J1795" t="s">
        <v>271</v>
      </c>
      <c r="K1795" t="s">
        <v>272</v>
      </c>
      <c r="L1795" t="s">
        <v>273</v>
      </c>
      <c r="N1795" t="s">
        <v>58</v>
      </c>
    </row>
    <row r="1796" spans="1:12" ht="15">
      <c r="A1796" s="4">
        <v>201404</v>
      </c>
      <c r="B1796" t="s">
        <v>270</v>
      </c>
      <c r="C1796" s="5">
        <v>6549593</v>
      </c>
      <c r="D1796" s="2" t="s">
        <v>1047</v>
      </c>
      <c r="E1796" s="2" t="s">
        <v>15</v>
      </c>
      <c r="F1796" s="3">
        <v>124.12</v>
      </c>
      <c r="G1796" t="s">
        <v>579</v>
      </c>
      <c r="H1796" s="1" t="s">
        <v>69</v>
      </c>
      <c r="I1796" t="e">
        <f>-freight</f>
        <v>#NAME?</v>
      </c>
      <c r="J1796" t="s">
        <v>271</v>
      </c>
      <c r="K1796" t="s">
        <v>272</v>
      </c>
      <c r="L1796" t="s">
        <v>273</v>
      </c>
    </row>
    <row r="1797" spans="1:14" ht="15">
      <c r="A1797" s="4">
        <v>201405</v>
      </c>
      <c r="B1797" t="s">
        <v>270</v>
      </c>
      <c r="C1797" s="5">
        <v>6549593</v>
      </c>
      <c r="D1797" s="2" t="s">
        <v>1047</v>
      </c>
      <c r="E1797" s="2" t="s">
        <v>15</v>
      </c>
      <c r="F1797" s="3">
        <v>6.82</v>
      </c>
      <c r="G1797" t="s">
        <v>57</v>
      </c>
      <c r="H1797" s="1" t="s">
        <v>69</v>
      </c>
      <c r="I1797" t="e">
        <f>-66830/KYCAR46493/1</f>
        <v>#NAME?</v>
      </c>
      <c r="J1797" t="s">
        <v>271</v>
      </c>
      <c r="K1797" t="s">
        <v>272</v>
      </c>
      <c r="L1797" t="s">
        <v>273</v>
      </c>
      <c r="N1797" t="s">
        <v>58</v>
      </c>
    </row>
    <row r="1798" spans="1:12" ht="15">
      <c r="A1798" s="4">
        <v>201405</v>
      </c>
      <c r="B1798" t="s">
        <v>270</v>
      </c>
      <c r="C1798" s="5">
        <v>6549593</v>
      </c>
      <c r="D1798" s="2" t="s">
        <v>1047</v>
      </c>
      <c r="E1798" s="2" t="s">
        <v>15</v>
      </c>
      <c r="F1798" s="3">
        <v>113.63</v>
      </c>
      <c r="G1798" t="s">
        <v>109</v>
      </c>
      <c r="H1798" s="1" t="s">
        <v>69</v>
      </c>
      <c r="I1798" t="e">
        <f>-freight</f>
        <v>#NAME?</v>
      </c>
      <c r="J1798" t="s">
        <v>271</v>
      </c>
      <c r="K1798" t="s">
        <v>272</v>
      </c>
      <c r="L1798" t="s">
        <v>273</v>
      </c>
    </row>
    <row r="1799" spans="1:12" ht="15">
      <c r="A1799" s="4">
        <v>201405</v>
      </c>
      <c r="B1799" t="s">
        <v>270</v>
      </c>
      <c r="C1799" s="5">
        <v>6549729</v>
      </c>
      <c r="D1799" s="2" t="s">
        <v>1059</v>
      </c>
      <c r="E1799" s="2" t="s">
        <v>15</v>
      </c>
      <c r="F1799" s="3">
        <v>7.45</v>
      </c>
      <c r="H1799" s="1" t="s">
        <v>14</v>
      </c>
      <c r="I1799" t="s">
        <v>380</v>
      </c>
      <c r="J1799" t="s">
        <v>271</v>
      </c>
      <c r="K1799" t="s">
        <v>272</v>
      </c>
      <c r="L1799" t="s">
        <v>273</v>
      </c>
    </row>
    <row r="1800" spans="1:12" ht="15">
      <c r="A1800" s="4">
        <v>201405</v>
      </c>
      <c r="B1800" t="s">
        <v>270</v>
      </c>
      <c r="C1800" s="5">
        <v>6549729</v>
      </c>
      <c r="D1800" s="2" t="s">
        <v>1059</v>
      </c>
      <c r="E1800" s="2" t="s">
        <v>15</v>
      </c>
      <c r="F1800" s="3">
        <v>194</v>
      </c>
      <c r="H1800" s="1" t="s">
        <v>14</v>
      </c>
      <c r="I1800" t="s">
        <v>1060</v>
      </c>
      <c r="J1800" t="s">
        <v>271</v>
      </c>
      <c r="K1800" t="s">
        <v>272</v>
      </c>
      <c r="L1800" t="s">
        <v>273</v>
      </c>
    </row>
    <row r="1801" spans="1:14" ht="15">
      <c r="A1801" s="4">
        <v>201406</v>
      </c>
      <c r="B1801" t="s">
        <v>270</v>
      </c>
      <c r="C1801" s="5">
        <v>6549729</v>
      </c>
      <c r="D1801" s="2" t="s">
        <v>1059</v>
      </c>
      <c r="E1801" s="2" t="s">
        <v>15</v>
      </c>
      <c r="F1801" s="3">
        <v>140.2</v>
      </c>
      <c r="G1801" t="s">
        <v>57</v>
      </c>
      <c r="H1801" s="1" t="s">
        <v>60</v>
      </c>
      <c r="I1801" t="e">
        <f>-16294/KY67759993/1</f>
        <v>#NAME?</v>
      </c>
      <c r="J1801" t="s">
        <v>271</v>
      </c>
      <c r="K1801" t="s">
        <v>272</v>
      </c>
      <c r="L1801" t="s">
        <v>273</v>
      </c>
      <c r="N1801" t="s">
        <v>58</v>
      </c>
    </row>
    <row r="1802" spans="1:13" ht="15">
      <c r="A1802" s="4">
        <v>201406</v>
      </c>
      <c r="B1802" t="s">
        <v>270</v>
      </c>
      <c r="C1802" s="5">
        <v>6549729</v>
      </c>
      <c r="D1802" s="2" t="s">
        <v>1059</v>
      </c>
      <c r="E1802" s="2" t="s">
        <v>15</v>
      </c>
      <c r="F1802" s="3">
        <v>711.86</v>
      </c>
      <c r="G1802" t="s">
        <v>96</v>
      </c>
      <c r="H1802" s="1" t="s">
        <v>60</v>
      </c>
      <c r="I1802" t="e">
        <f>-REDUCER,Gear-left Hand Gear REDUCER</f>
        <v>#NAME?</v>
      </c>
      <c r="J1802" t="s">
        <v>271</v>
      </c>
      <c r="K1802" t="s">
        <v>272</v>
      </c>
      <c r="L1802" t="s">
        <v>273</v>
      </c>
      <c r="M1802">
        <v>904228</v>
      </c>
    </row>
    <row r="1803" spans="1:13" ht="15">
      <c r="A1803" s="4">
        <v>201406</v>
      </c>
      <c r="B1803" t="s">
        <v>270</v>
      </c>
      <c r="C1803" s="5">
        <v>6549729</v>
      </c>
      <c r="D1803" s="2" t="s">
        <v>1059</v>
      </c>
      <c r="E1803" s="2" t="s">
        <v>15</v>
      </c>
      <c r="F1803" s="3">
        <v>1624.78</v>
      </c>
      <c r="G1803" t="s">
        <v>96</v>
      </c>
      <c r="H1803" s="1" t="s">
        <v>60</v>
      </c>
      <c r="I1803" t="e">
        <f>-REDUCER,Gear-right Hand Gear REDUCER</f>
        <v>#NAME?</v>
      </c>
      <c r="J1803" t="s">
        <v>271</v>
      </c>
      <c r="K1803" t="s">
        <v>272</v>
      </c>
      <c r="L1803" t="s">
        <v>273</v>
      </c>
      <c r="M1803">
        <v>904228</v>
      </c>
    </row>
    <row r="1804" spans="1:13" ht="15">
      <c r="A1804" s="4">
        <v>201407</v>
      </c>
      <c r="B1804" t="s">
        <v>270</v>
      </c>
      <c r="C1804" s="5">
        <v>6549729</v>
      </c>
      <c r="D1804" s="2" t="s">
        <v>1059</v>
      </c>
      <c r="E1804" s="2" t="s">
        <v>15</v>
      </c>
      <c r="F1804" s="3">
        <v>-16.25</v>
      </c>
      <c r="G1804" t="s">
        <v>96</v>
      </c>
      <c r="H1804" s="1" t="s">
        <v>60</v>
      </c>
      <c r="I1804" t="e">
        <f>-REDUCER,Gear-right Hand Gear REDUCER</f>
        <v>#NAME?</v>
      </c>
      <c r="J1804" t="s">
        <v>271</v>
      </c>
      <c r="K1804" t="s">
        <v>272</v>
      </c>
      <c r="L1804" t="s">
        <v>273</v>
      </c>
      <c r="M1804">
        <v>904228</v>
      </c>
    </row>
    <row r="1805" spans="1:13" ht="15">
      <c r="A1805" s="4">
        <v>201407</v>
      </c>
      <c r="B1805" t="s">
        <v>270</v>
      </c>
      <c r="C1805" s="5">
        <v>6549729</v>
      </c>
      <c r="D1805" s="2" t="s">
        <v>1059</v>
      </c>
      <c r="E1805" s="2" t="s">
        <v>15</v>
      </c>
      <c r="F1805" s="3">
        <v>-7.12</v>
      </c>
      <c r="G1805" t="s">
        <v>96</v>
      </c>
      <c r="H1805" s="1" t="s">
        <v>60</v>
      </c>
      <c r="I1805" t="e">
        <f>-REDUCER,Gear-left Hand Gear REDUCER</f>
        <v>#NAME?</v>
      </c>
      <c r="J1805" t="s">
        <v>271</v>
      </c>
      <c r="K1805" t="s">
        <v>272</v>
      </c>
      <c r="L1805" t="s">
        <v>273</v>
      </c>
      <c r="M1805">
        <v>904228</v>
      </c>
    </row>
    <row r="1806" spans="1:13" ht="15">
      <c r="A1806" s="4">
        <v>201409</v>
      </c>
      <c r="B1806" t="s">
        <v>270</v>
      </c>
      <c r="C1806" s="5">
        <v>6549729</v>
      </c>
      <c r="D1806" s="2" t="s">
        <v>1059</v>
      </c>
      <c r="E1806" s="2" t="s">
        <v>15</v>
      </c>
      <c r="F1806" s="3">
        <v>34.4</v>
      </c>
      <c r="G1806" t="s">
        <v>1061</v>
      </c>
      <c r="H1806" s="1" t="s">
        <v>60</v>
      </c>
      <c r="I1806" t="e">
        <f>-GASKET FOR Sight Glass</f>
        <v>#NAME?</v>
      </c>
      <c r="J1806" t="s">
        <v>271</v>
      </c>
      <c r="K1806" t="s">
        <v>272</v>
      </c>
      <c r="L1806" t="s">
        <v>273</v>
      </c>
      <c r="M1806">
        <v>912234</v>
      </c>
    </row>
    <row r="1807" spans="1:14" ht="15">
      <c r="A1807" s="4">
        <v>201409</v>
      </c>
      <c r="B1807" t="s">
        <v>270</v>
      </c>
      <c r="C1807" s="5">
        <v>6549729</v>
      </c>
      <c r="D1807" s="2" t="s">
        <v>1059</v>
      </c>
      <c r="E1807" s="2" t="s">
        <v>15</v>
      </c>
      <c r="F1807" s="3">
        <v>37.87</v>
      </c>
      <c r="G1807" t="s">
        <v>57</v>
      </c>
      <c r="H1807" s="1" t="s">
        <v>60</v>
      </c>
      <c r="I1807">
        <f>-58193/140121/1</f>
        <v>-0.41530534323905766</v>
      </c>
      <c r="J1807" t="s">
        <v>271</v>
      </c>
      <c r="K1807" t="s">
        <v>272</v>
      </c>
      <c r="L1807" t="s">
        <v>273</v>
      </c>
      <c r="N1807" t="s">
        <v>58</v>
      </c>
    </row>
    <row r="1808" spans="1:13" ht="15">
      <c r="A1808" s="4">
        <v>201409</v>
      </c>
      <c r="B1808" t="s">
        <v>270</v>
      </c>
      <c r="C1808" s="5">
        <v>6549729</v>
      </c>
      <c r="D1808" s="2" t="s">
        <v>1059</v>
      </c>
      <c r="E1808" s="2" t="s">
        <v>15</v>
      </c>
      <c r="F1808" s="3">
        <v>596.8</v>
      </c>
      <c r="G1808" t="s">
        <v>1061</v>
      </c>
      <c r="H1808" s="1" t="s">
        <v>60</v>
      </c>
      <c r="I1808" t="s">
        <v>1062</v>
      </c>
      <c r="J1808" t="s">
        <v>271</v>
      </c>
      <c r="K1808" t="s">
        <v>272</v>
      </c>
      <c r="L1808" t="s">
        <v>273</v>
      </c>
      <c r="M1808">
        <v>912234</v>
      </c>
    </row>
    <row r="1809" spans="1:12" ht="15">
      <c r="A1809" s="4">
        <v>201405</v>
      </c>
      <c r="B1809" t="s">
        <v>270</v>
      </c>
      <c r="C1809" s="5">
        <v>6549729</v>
      </c>
      <c r="D1809" s="2" t="s">
        <v>1059</v>
      </c>
      <c r="E1809" s="2" t="s">
        <v>15</v>
      </c>
      <c r="F1809" s="3">
        <v>0.35</v>
      </c>
      <c r="H1809" s="1" t="s">
        <v>66</v>
      </c>
      <c r="I1809" t="s">
        <v>67</v>
      </c>
      <c r="J1809" t="s">
        <v>271</v>
      </c>
      <c r="K1809" t="s">
        <v>272</v>
      </c>
      <c r="L1809" t="s">
        <v>273</v>
      </c>
    </row>
    <row r="1810" spans="1:14" ht="15">
      <c r="A1810" s="4">
        <v>201406</v>
      </c>
      <c r="B1810" t="s">
        <v>270</v>
      </c>
      <c r="C1810" s="5">
        <v>6549729</v>
      </c>
      <c r="D1810" s="2" t="s">
        <v>1059</v>
      </c>
      <c r="E1810" s="2" t="s">
        <v>15</v>
      </c>
      <c r="F1810" s="3">
        <v>15.73</v>
      </c>
      <c r="G1810" t="s">
        <v>57</v>
      </c>
      <c r="H1810" s="1" t="s">
        <v>69</v>
      </c>
      <c r="I1810" t="e">
        <f>-16294/KY67759993/1</f>
        <v>#NAME?</v>
      </c>
      <c r="J1810" t="s">
        <v>271</v>
      </c>
      <c r="K1810" t="s">
        <v>272</v>
      </c>
      <c r="L1810" t="s">
        <v>273</v>
      </c>
      <c r="N1810" t="s">
        <v>58</v>
      </c>
    </row>
    <row r="1811" spans="1:12" ht="15">
      <c r="A1811" s="4">
        <v>201406</v>
      </c>
      <c r="B1811" t="s">
        <v>270</v>
      </c>
      <c r="C1811" s="5">
        <v>6549729</v>
      </c>
      <c r="D1811" s="2" t="s">
        <v>1059</v>
      </c>
      <c r="E1811" s="2" t="s">
        <v>15</v>
      </c>
      <c r="F1811" s="3">
        <v>262.13</v>
      </c>
      <c r="G1811" t="s">
        <v>96</v>
      </c>
      <c r="H1811" s="1" t="s">
        <v>69</v>
      </c>
      <c r="I1811" t="e">
        <f>-freight</f>
        <v>#NAME?</v>
      </c>
      <c r="J1811" t="s">
        <v>271</v>
      </c>
      <c r="K1811" t="s">
        <v>272</v>
      </c>
      <c r="L1811" t="s">
        <v>273</v>
      </c>
    </row>
    <row r="1812" spans="1:14" ht="15">
      <c r="A1812" s="4">
        <v>201409</v>
      </c>
      <c r="B1812" t="s">
        <v>270</v>
      </c>
      <c r="C1812" s="5">
        <v>6549729</v>
      </c>
      <c r="D1812" s="2" t="s">
        <v>1059</v>
      </c>
      <c r="E1812" s="2" t="s">
        <v>15</v>
      </c>
      <c r="F1812" s="3">
        <v>0.9</v>
      </c>
      <c r="G1812" t="s">
        <v>57</v>
      </c>
      <c r="H1812" s="1" t="s">
        <v>69</v>
      </c>
      <c r="I1812">
        <f>-58193/140121/1</f>
        <v>-0.41530534323905766</v>
      </c>
      <c r="J1812" t="s">
        <v>271</v>
      </c>
      <c r="K1812" t="s">
        <v>272</v>
      </c>
      <c r="L1812" t="s">
        <v>273</v>
      </c>
      <c r="N1812" t="s">
        <v>58</v>
      </c>
    </row>
    <row r="1813" spans="1:12" ht="15">
      <c r="A1813" s="4">
        <v>201409</v>
      </c>
      <c r="B1813" t="s">
        <v>270</v>
      </c>
      <c r="C1813" s="5">
        <v>6549729</v>
      </c>
      <c r="D1813" s="2" t="s">
        <v>1059</v>
      </c>
      <c r="E1813" s="2" t="s">
        <v>15</v>
      </c>
      <c r="F1813" s="3">
        <v>15</v>
      </c>
      <c r="G1813" t="s">
        <v>1061</v>
      </c>
      <c r="H1813" s="1" t="s">
        <v>69</v>
      </c>
      <c r="I1813" t="e">
        <f>-freight</f>
        <v>#NAME?</v>
      </c>
      <c r="J1813" t="s">
        <v>271</v>
      </c>
      <c r="K1813" t="s">
        <v>272</v>
      </c>
      <c r="L1813" t="s">
        <v>273</v>
      </c>
    </row>
    <row r="1814" spans="1:12" ht="15">
      <c r="A1814" s="4">
        <v>201404</v>
      </c>
      <c r="B1814" t="s">
        <v>270</v>
      </c>
      <c r="C1814" s="5">
        <v>6550543</v>
      </c>
      <c r="D1814" s="2" t="s">
        <v>1064</v>
      </c>
      <c r="E1814" s="2" t="s">
        <v>15</v>
      </c>
      <c r="F1814" s="3">
        <v>-1373.08</v>
      </c>
      <c r="H1814" s="1" t="s">
        <v>330</v>
      </c>
      <c r="I1814" t="s">
        <v>1063</v>
      </c>
      <c r="J1814" t="s">
        <v>271</v>
      </c>
      <c r="K1814" t="s">
        <v>272</v>
      </c>
      <c r="L1814" t="s">
        <v>273</v>
      </c>
    </row>
    <row r="1815" spans="1:12" ht="15">
      <c r="A1815" s="4">
        <v>201405</v>
      </c>
      <c r="B1815" t="s">
        <v>270</v>
      </c>
      <c r="C1815" s="5">
        <v>6550543</v>
      </c>
      <c r="D1815" s="2" t="s">
        <v>1064</v>
      </c>
      <c r="E1815" s="2" t="s">
        <v>15</v>
      </c>
      <c r="F1815" s="3">
        <v>1373.08</v>
      </c>
      <c r="H1815" s="1" t="s">
        <v>14</v>
      </c>
      <c r="I1815" t="s">
        <v>1063</v>
      </c>
      <c r="J1815" t="s">
        <v>271</v>
      </c>
      <c r="K1815" t="s">
        <v>272</v>
      </c>
      <c r="L1815" t="s">
        <v>273</v>
      </c>
    </row>
    <row r="1816" spans="1:12" ht="15">
      <c r="A1816" s="4">
        <v>201405</v>
      </c>
      <c r="B1816" t="s">
        <v>270</v>
      </c>
      <c r="C1816" s="5">
        <v>6550543</v>
      </c>
      <c r="D1816" s="2" t="s">
        <v>1064</v>
      </c>
      <c r="E1816" s="2" t="s">
        <v>15</v>
      </c>
      <c r="F1816" s="3">
        <v>1795.54</v>
      </c>
      <c r="H1816" s="1" t="s">
        <v>14</v>
      </c>
      <c r="I1816" t="s">
        <v>973</v>
      </c>
      <c r="J1816" t="s">
        <v>271</v>
      </c>
      <c r="K1816" t="s">
        <v>272</v>
      </c>
      <c r="L1816" t="s">
        <v>273</v>
      </c>
    </row>
    <row r="1817" spans="1:13" ht="15">
      <c r="A1817" s="4">
        <v>201405</v>
      </c>
      <c r="B1817" t="s">
        <v>270</v>
      </c>
      <c r="C1817" s="5">
        <v>6550543</v>
      </c>
      <c r="D1817" s="2" t="s">
        <v>1064</v>
      </c>
      <c r="E1817" s="2" t="s">
        <v>15</v>
      </c>
      <c r="F1817" s="3">
        <v>303.43</v>
      </c>
      <c r="G1817" t="s">
        <v>111</v>
      </c>
      <c r="H1817" s="1" t="s">
        <v>44</v>
      </c>
      <c r="I1817" t="e">
        <f>-labor/MATERIAL-REPAIR of R901005188 Bosch Rexroth VALVE</f>
        <v>#NAME?</v>
      </c>
      <c r="J1817" t="s">
        <v>271</v>
      </c>
      <c r="K1817" t="s">
        <v>272</v>
      </c>
      <c r="L1817" t="s">
        <v>273</v>
      </c>
      <c r="M1817">
        <v>904150</v>
      </c>
    </row>
    <row r="1818" spans="1:14" ht="15">
      <c r="A1818" s="4">
        <v>201404</v>
      </c>
      <c r="B1818" t="s">
        <v>270</v>
      </c>
      <c r="C1818" s="5">
        <v>6550543</v>
      </c>
      <c r="D1818" s="2" t="s">
        <v>1064</v>
      </c>
      <c r="E1818" s="2" t="s">
        <v>15</v>
      </c>
      <c r="F1818" s="3">
        <v>82.38</v>
      </c>
      <c r="G1818" t="s">
        <v>57</v>
      </c>
      <c r="H1818" s="1" t="s">
        <v>60</v>
      </c>
      <c r="I1818">
        <f>-35085/615491001/1</f>
        <v>-5.7003270466987704E-05</v>
      </c>
      <c r="J1818" t="s">
        <v>271</v>
      </c>
      <c r="K1818" t="s">
        <v>272</v>
      </c>
      <c r="L1818" t="s">
        <v>273</v>
      </c>
      <c r="N1818" t="s">
        <v>58</v>
      </c>
    </row>
    <row r="1819" spans="1:13" ht="15">
      <c r="A1819" s="4">
        <v>201404</v>
      </c>
      <c r="B1819" t="s">
        <v>270</v>
      </c>
      <c r="C1819" s="5">
        <v>6550543</v>
      </c>
      <c r="D1819" s="2" t="s">
        <v>1064</v>
      </c>
      <c r="E1819" s="2" t="s">
        <v>15</v>
      </c>
      <c r="F1819" s="3">
        <v>1373.08</v>
      </c>
      <c r="G1819" t="s">
        <v>111</v>
      </c>
      <c r="H1819" s="1" t="s">
        <v>60</v>
      </c>
      <c r="I1819" t="s">
        <v>1065</v>
      </c>
      <c r="J1819" t="s">
        <v>271</v>
      </c>
      <c r="K1819" t="s">
        <v>272</v>
      </c>
      <c r="L1819" t="s">
        <v>273</v>
      </c>
      <c r="M1819">
        <v>901130</v>
      </c>
    </row>
    <row r="1820" spans="1:14" ht="15">
      <c r="A1820" s="4">
        <v>201404</v>
      </c>
      <c r="B1820" t="s">
        <v>270</v>
      </c>
      <c r="C1820" s="5">
        <v>6550543</v>
      </c>
      <c r="D1820" s="2" t="s">
        <v>1064</v>
      </c>
      <c r="E1820" s="2" t="s">
        <v>15</v>
      </c>
      <c r="F1820" s="3">
        <v>0.18</v>
      </c>
      <c r="G1820" t="s">
        <v>57</v>
      </c>
      <c r="H1820" s="1" t="s">
        <v>69</v>
      </c>
      <c r="I1820">
        <f>-35085/615491001/1</f>
        <v>-5.7003270466987704E-05</v>
      </c>
      <c r="J1820" t="s">
        <v>271</v>
      </c>
      <c r="K1820" t="s">
        <v>272</v>
      </c>
      <c r="L1820" t="s">
        <v>273</v>
      </c>
      <c r="N1820" t="s">
        <v>58</v>
      </c>
    </row>
    <row r="1821" spans="1:12" ht="15">
      <c r="A1821" s="4">
        <v>201404</v>
      </c>
      <c r="B1821" t="s">
        <v>270</v>
      </c>
      <c r="C1821" s="5">
        <v>6550543</v>
      </c>
      <c r="D1821" s="2" t="s">
        <v>1064</v>
      </c>
      <c r="E1821" s="2" t="s">
        <v>15</v>
      </c>
      <c r="F1821" s="3">
        <v>3</v>
      </c>
      <c r="G1821" t="s">
        <v>111</v>
      </c>
      <c r="H1821" s="1" t="s">
        <v>69</v>
      </c>
      <c r="I1821" t="e">
        <f>-freight</f>
        <v>#NAME?</v>
      </c>
      <c r="J1821" t="s">
        <v>271</v>
      </c>
      <c r="K1821" t="s">
        <v>272</v>
      </c>
      <c r="L1821" t="s">
        <v>273</v>
      </c>
    </row>
    <row r="1822" spans="1:14" ht="15">
      <c r="A1822" s="4">
        <v>201405</v>
      </c>
      <c r="B1822" t="s">
        <v>270</v>
      </c>
      <c r="C1822" s="5">
        <v>6550543</v>
      </c>
      <c r="D1822" s="2" t="s">
        <v>1064</v>
      </c>
      <c r="E1822" s="2" t="s">
        <v>15</v>
      </c>
      <c r="F1822" s="3">
        <v>1.69</v>
      </c>
      <c r="G1822" t="s">
        <v>57</v>
      </c>
      <c r="H1822" s="1" t="s">
        <v>69</v>
      </c>
      <c r="I1822">
        <f>-35085/618657002/1</f>
        <v>-5.671155403814536E-05</v>
      </c>
      <c r="J1822" t="s">
        <v>271</v>
      </c>
      <c r="K1822" t="s">
        <v>272</v>
      </c>
      <c r="L1822" t="s">
        <v>273</v>
      </c>
      <c r="N1822" t="s">
        <v>58</v>
      </c>
    </row>
    <row r="1823" spans="1:14" ht="15">
      <c r="A1823" s="4">
        <v>201405</v>
      </c>
      <c r="B1823" t="s">
        <v>270</v>
      </c>
      <c r="C1823" s="5">
        <v>6550543</v>
      </c>
      <c r="D1823" s="2" t="s">
        <v>1064</v>
      </c>
      <c r="E1823" s="2" t="s">
        <v>15</v>
      </c>
      <c r="F1823" s="3">
        <v>4.5</v>
      </c>
      <c r="G1823" t="s">
        <v>57</v>
      </c>
      <c r="H1823" s="1" t="s">
        <v>69</v>
      </c>
      <c r="I1823">
        <f>-35085/615322001/1</f>
        <v>-5.701892658312408E-05</v>
      </c>
      <c r="J1823" t="s">
        <v>271</v>
      </c>
      <c r="K1823" t="s">
        <v>272</v>
      </c>
      <c r="L1823" t="s">
        <v>273</v>
      </c>
      <c r="N1823" t="s">
        <v>58</v>
      </c>
    </row>
    <row r="1824" spans="1:12" ht="15">
      <c r="A1824" s="4">
        <v>201405</v>
      </c>
      <c r="B1824" t="s">
        <v>270</v>
      </c>
      <c r="C1824" s="5">
        <v>6550543</v>
      </c>
      <c r="D1824" s="2" t="s">
        <v>1064</v>
      </c>
      <c r="E1824" s="2" t="s">
        <v>15</v>
      </c>
      <c r="F1824" s="3">
        <v>28.17</v>
      </c>
      <c r="G1824" t="s">
        <v>111</v>
      </c>
      <c r="H1824" s="1" t="s">
        <v>69</v>
      </c>
      <c r="I1824" t="e">
        <f>-freight</f>
        <v>#NAME?</v>
      </c>
      <c r="J1824" t="s">
        <v>271</v>
      </c>
      <c r="K1824" t="s">
        <v>272</v>
      </c>
      <c r="L1824" t="s">
        <v>273</v>
      </c>
    </row>
    <row r="1825" spans="1:13" ht="15">
      <c r="A1825" s="4">
        <v>201405</v>
      </c>
      <c r="B1825" t="s">
        <v>270</v>
      </c>
      <c r="C1825" s="5">
        <v>6550543</v>
      </c>
      <c r="D1825" s="2" t="s">
        <v>1064</v>
      </c>
      <c r="E1825" s="2" t="s">
        <v>15</v>
      </c>
      <c r="F1825" s="3">
        <v>75</v>
      </c>
      <c r="G1825" t="s">
        <v>111</v>
      </c>
      <c r="H1825" s="1" t="s">
        <v>69</v>
      </c>
      <c r="I1825" t="e">
        <f>-EXPEDITE FEE</f>
        <v>#NAME?</v>
      </c>
      <c r="J1825" t="s">
        <v>271</v>
      </c>
      <c r="K1825" t="s">
        <v>272</v>
      </c>
      <c r="L1825" t="s">
        <v>273</v>
      </c>
      <c r="M1825">
        <v>900855</v>
      </c>
    </row>
    <row r="1826" spans="1:14" ht="15">
      <c r="A1826" s="4">
        <v>201406</v>
      </c>
      <c r="B1826" t="s">
        <v>270</v>
      </c>
      <c r="C1826" s="5">
        <v>6550543</v>
      </c>
      <c r="D1826" s="2" t="s">
        <v>1064</v>
      </c>
      <c r="E1826" s="2" t="s">
        <v>15</v>
      </c>
      <c r="F1826" s="3">
        <v>1.26</v>
      </c>
      <c r="G1826" t="s">
        <v>57</v>
      </c>
      <c r="H1826" s="1" t="s">
        <v>69</v>
      </c>
      <c r="I1826">
        <f>-35085/615322002/1</f>
        <v>-5.701892649045889E-05</v>
      </c>
      <c r="J1826" t="s">
        <v>271</v>
      </c>
      <c r="K1826" t="s">
        <v>272</v>
      </c>
      <c r="L1826" t="s">
        <v>273</v>
      </c>
      <c r="N1826" t="s">
        <v>58</v>
      </c>
    </row>
    <row r="1827" spans="1:12" ht="15">
      <c r="A1827" s="4">
        <v>201406</v>
      </c>
      <c r="B1827" t="s">
        <v>270</v>
      </c>
      <c r="C1827" s="5">
        <v>6550543</v>
      </c>
      <c r="D1827" s="2" t="s">
        <v>1064</v>
      </c>
      <c r="E1827" s="2" t="s">
        <v>15</v>
      </c>
      <c r="F1827" s="3">
        <v>6</v>
      </c>
      <c r="G1827" t="s">
        <v>111</v>
      </c>
      <c r="H1827" s="1" t="s">
        <v>69</v>
      </c>
      <c r="I1827" t="e">
        <f>-freight</f>
        <v>#NAME?</v>
      </c>
      <c r="J1827" t="s">
        <v>271</v>
      </c>
      <c r="K1827" t="s">
        <v>272</v>
      </c>
      <c r="L1827" t="s">
        <v>273</v>
      </c>
    </row>
    <row r="1828" spans="1:13" ht="15">
      <c r="A1828" s="4">
        <v>201406</v>
      </c>
      <c r="B1828" t="s">
        <v>270</v>
      </c>
      <c r="C1828" s="5">
        <v>6550543</v>
      </c>
      <c r="D1828" s="2" t="s">
        <v>1064</v>
      </c>
      <c r="E1828" s="2" t="s">
        <v>15</v>
      </c>
      <c r="F1828" s="3">
        <v>15</v>
      </c>
      <c r="G1828" t="s">
        <v>111</v>
      </c>
      <c r="H1828" s="1" t="s">
        <v>69</v>
      </c>
      <c r="I1828" t="e">
        <f>-EXPEDITE FEE</f>
        <v>#NAME?</v>
      </c>
      <c r="J1828" t="s">
        <v>271</v>
      </c>
      <c r="K1828" t="s">
        <v>272</v>
      </c>
      <c r="L1828" t="s">
        <v>273</v>
      </c>
      <c r="M1828">
        <v>900855</v>
      </c>
    </row>
    <row r="1829" spans="1:12" ht="15">
      <c r="A1829" s="4">
        <v>201403</v>
      </c>
      <c r="B1829" t="s">
        <v>270</v>
      </c>
      <c r="C1829" s="5">
        <v>6550578</v>
      </c>
      <c r="D1829" s="2" t="s">
        <v>1066</v>
      </c>
      <c r="E1829" s="2" t="s">
        <v>169</v>
      </c>
      <c r="F1829" s="3">
        <v>2.41</v>
      </c>
      <c r="H1829" s="1" t="s">
        <v>66</v>
      </c>
      <c r="I1829" t="s">
        <v>67</v>
      </c>
      <c r="J1829" t="s">
        <v>271</v>
      </c>
      <c r="K1829" t="s">
        <v>272</v>
      </c>
      <c r="L1829" t="s">
        <v>273</v>
      </c>
    </row>
    <row r="1830" spans="1:12" ht="15">
      <c r="A1830" s="4">
        <v>201404</v>
      </c>
      <c r="B1830" t="s">
        <v>270</v>
      </c>
      <c r="C1830" s="5">
        <v>6550601</v>
      </c>
      <c r="D1830" s="2" t="s">
        <v>1067</v>
      </c>
      <c r="E1830" s="2" t="s">
        <v>15</v>
      </c>
      <c r="F1830" s="3">
        <v>5.5</v>
      </c>
      <c r="H1830" s="1" t="s">
        <v>14</v>
      </c>
      <c r="I1830" t="s">
        <v>377</v>
      </c>
      <c r="J1830" t="s">
        <v>271</v>
      </c>
      <c r="K1830" t="s">
        <v>272</v>
      </c>
      <c r="L1830" t="s">
        <v>273</v>
      </c>
    </row>
    <row r="1831" spans="1:12" ht="15">
      <c r="A1831" s="4">
        <v>201404</v>
      </c>
      <c r="B1831" t="s">
        <v>270</v>
      </c>
      <c r="C1831" s="5">
        <v>6550601</v>
      </c>
      <c r="D1831" s="2" t="s">
        <v>1067</v>
      </c>
      <c r="E1831" s="2" t="s">
        <v>15</v>
      </c>
      <c r="F1831" s="3">
        <v>7.73</v>
      </c>
      <c r="H1831" s="1" t="s">
        <v>14</v>
      </c>
      <c r="I1831" t="s">
        <v>35</v>
      </c>
      <c r="J1831" t="s">
        <v>271</v>
      </c>
      <c r="K1831" t="s">
        <v>272</v>
      </c>
      <c r="L1831" t="s">
        <v>273</v>
      </c>
    </row>
    <row r="1832" spans="1:12" ht="15">
      <c r="A1832" s="4">
        <v>201404</v>
      </c>
      <c r="B1832" t="s">
        <v>270</v>
      </c>
      <c r="C1832" s="5">
        <v>6550601</v>
      </c>
      <c r="D1832" s="2" t="s">
        <v>1067</v>
      </c>
      <c r="E1832" s="2" t="s">
        <v>15</v>
      </c>
      <c r="F1832" s="3">
        <v>156.96</v>
      </c>
      <c r="H1832" s="1" t="s">
        <v>14</v>
      </c>
      <c r="I1832" t="s">
        <v>1068</v>
      </c>
      <c r="J1832" t="s">
        <v>271</v>
      </c>
      <c r="K1832" t="s">
        <v>272</v>
      </c>
      <c r="L1832" t="s">
        <v>273</v>
      </c>
    </row>
    <row r="1833" spans="1:12" ht="15">
      <c r="A1833" s="4">
        <v>201405</v>
      </c>
      <c r="B1833" t="s">
        <v>270</v>
      </c>
      <c r="C1833" s="5">
        <v>6550601</v>
      </c>
      <c r="D1833" s="2" t="s">
        <v>1067</v>
      </c>
      <c r="E1833" s="2" t="s">
        <v>15</v>
      </c>
      <c r="F1833" s="3">
        <v>-156.96</v>
      </c>
      <c r="H1833" s="1" t="s">
        <v>43</v>
      </c>
      <c r="I1833" t="s">
        <v>1068</v>
      </c>
      <c r="J1833" t="s">
        <v>271</v>
      </c>
      <c r="K1833" t="s">
        <v>272</v>
      </c>
      <c r="L1833" t="s">
        <v>273</v>
      </c>
    </row>
    <row r="1834" spans="1:14" ht="15">
      <c r="A1834" s="4">
        <v>201408</v>
      </c>
      <c r="B1834" t="s">
        <v>270</v>
      </c>
      <c r="C1834" s="5">
        <v>6550601</v>
      </c>
      <c r="D1834" s="2" t="s">
        <v>1067</v>
      </c>
      <c r="E1834" s="2" t="s">
        <v>15</v>
      </c>
      <c r="F1834" s="3">
        <v>32.59</v>
      </c>
      <c r="G1834" t="s">
        <v>57</v>
      </c>
      <c r="H1834" s="1" t="s">
        <v>60</v>
      </c>
      <c r="I1834">
        <f>-72123/4127706/1</f>
        <v>-0.017472901413036684</v>
      </c>
      <c r="J1834" t="s">
        <v>271</v>
      </c>
      <c r="K1834" t="s">
        <v>272</v>
      </c>
      <c r="L1834" t="s">
        <v>273</v>
      </c>
      <c r="N1834" t="s">
        <v>58</v>
      </c>
    </row>
    <row r="1835" spans="1:13" ht="15">
      <c r="A1835" s="4">
        <v>201408</v>
      </c>
      <c r="B1835" t="s">
        <v>270</v>
      </c>
      <c r="C1835" s="5">
        <v>6550601</v>
      </c>
      <c r="D1835" s="2" t="s">
        <v>1067</v>
      </c>
      <c r="E1835" s="2" t="s">
        <v>15</v>
      </c>
      <c r="F1835" s="3">
        <v>543.17</v>
      </c>
      <c r="G1835" t="s">
        <v>110</v>
      </c>
      <c r="H1835" s="1" t="s">
        <v>60</v>
      </c>
      <c r="I1835" t="s">
        <v>1069</v>
      </c>
      <c r="J1835" t="s">
        <v>271</v>
      </c>
      <c r="K1835" t="s">
        <v>272</v>
      </c>
      <c r="L1835" t="s">
        <v>273</v>
      </c>
      <c r="M1835">
        <v>903902</v>
      </c>
    </row>
    <row r="1836" spans="1:12" ht="15">
      <c r="A1836" s="4">
        <v>201404</v>
      </c>
      <c r="B1836" t="s">
        <v>270</v>
      </c>
      <c r="C1836" s="5">
        <v>6550601</v>
      </c>
      <c r="D1836" s="2" t="s">
        <v>1067</v>
      </c>
      <c r="E1836" s="2" t="s">
        <v>15</v>
      </c>
      <c r="F1836" s="3">
        <v>0.3</v>
      </c>
      <c r="H1836" s="1" t="s">
        <v>66</v>
      </c>
      <c r="I1836" t="s">
        <v>67</v>
      </c>
      <c r="J1836" t="s">
        <v>271</v>
      </c>
      <c r="K1836" t="s">
        <v>272</v>
      </c>
      <c r="L1836" t="s">
        <v>273</v>
      </c>
    </row>
    <row r="1837" spans="1:13" ht="15">
      <c r="A1837" s="4">
        <v>201404</v>
      </c>
      <c r="B1837" t="s">
        <v>270</v>
      </c>
      <c r="C1837" s="5">
        <v>6550731</v>
      </c>
      <c r="D1837" s="2" t="s">
        <v>1071</v>
      </c>
      <c r="E1837" s="2" t="s">
        <v>15</v>
      </c>
      <c r="F1837" s="3">
        <v>13016</v>
      </c>
      <c r="G1837" t="s">
        <v>294</v>
      </c>
      <c r="H1837" s="1" t="s">
        <v>44</v>
      </c>
      <c r="I1837" t="s">
        <v>1070</v>
      </c>
      <c r="J1837" t="s">
        <v>271</v>
      </c>
      <c r="K1837" t="s">
        <v>272</v>
      </c>
      <c r="L1837" t="s">
        <v>273</v>
      </c>
      <c r="M1837">
        <v>901100</v>
      </c>
    </row>
    <row r="1838" spans="1:13" ht="15">
      <c r="A1838" s="4">
        <v>201404</v>
      </c>
      <c r="B1838" t="s">
        <v>270</v>
      </c>
      <c r="C1838" s="5">
        <v>6550731</v>
      </c>
      <c r="D1838" s="2" t="s">
        <v>1071</v>
      </c>
      <c r="E1838" s="2" t="s">
        <v>15</v>
      </c>
      <c r="F1838" s="3">
        <v>88430</v>
      </c>
      <c r="G1838" t="s">
        <v>294</v>
      </c>
      <c r="H1838" s="1" t="s">
        <v>44</v>
      </c>
      <c r="I1838" t="e">
        <f>-TC2 SDRS Circulation VALVE Retaining FLANGE Replacement and INSPECTION (see contract)</f>
        <v>#NAME?</v>
      </c>
      <c r="J1838" t="s">
        <v>271</v>
      </c>
      <c r="K1838" t="s">
        <v>272</v>
      </c>
      <c r="L1838" t="s">
        <v>273</v>
      </c>
      <c r="M1838">
        <v>901100</v>
      </c>
    </row>
    <row r="1839" spans="1:12" ht="15">
      <c r="A1839" s="4">
        <v>201404</v>
      </c>
      <c r="B1839" t="s">
        <v>270</v>
      </c>
      <c r="C1839" s="5">
        <v>6550731</v>
      </c>
      <c r="D1839" s="2" t="s">
        <v>1071</v>
      </c>
      <c r="E1839" s="2" t="s">
        <v>15</v>
      </c>
      <c r="F1839" s="3">
        <v>-2000</v>
      </c>
      <c r="G1839" t="s">
        <v>294</v>
      </c>
      <c r="H1839" s="1" t="s">
        <v>69</v>
      </c>
      <c r="I1839" t="e">
        <f>-freight reduction</f>
        <v>#NAME?</v>
      </c>
      <c r="J1839" t="s">
        <v>271</v>
      </c>
      <c r="K1839" t="s">
        <v>272</v>
      </c>
      <c r="L1839" t="s">
        <v>273</v>
      </c>
    </row>
    <row r="1840" spans="1:14" ht="15">
      <c r="A1840" s="4">
        <v>201404</v>
      </c>
      <c r="B1840" t="s">
        <v>270</v>
      </c>
      <c r="C1840" s="5">
        <v>6550731</v>
      </c>
      <c r="D1840" s="2" t="s">
        <v>1071</v>
      </c>
      <c r="E1840" s="2" t="s">
        <v>15</v>
      </c>
      <c r="F1840" s="3">
        <v>-120</v>
      </c>
      <c r="G1840" t="s">
        <v>57</v>
      </c>
      <c r="H1840" s="1" t="s">
        <v>69</v>
      </c>
      <c r="I1840">
        <f>-18016/818079/1</f>
        <v>-0.022022323027482676</v>
      </c>
      <c r="J1840" t="s">
        <v>271</v>
      </c>
      <c r="K1840" t="s">
        <v>272</v>
      </c>
      <c r="L1840" t="s">
        <v>273</v>
      </c>
      <c r="N1840" t="s">
        <v>58</v>
      </c>
    </row>
    <row r="1841" spans="1:12" ht="15">
      <c r="A1841" s="4">
        <v>201404</v>
      </c>
      <c r="B1841" t="s">
        <v>270</v>
      </c>
      <c r="C1841" s="5">
        <v>6550776</v>
      </c>
      <c r="D1841" s="2" t="s">
        <v>1072</v>
      </c>
      <c r="E1841" s="2" t="s">
        <v>15</v>
      </c>
      <c r="F1841" s="3">
        <v>0.91</v>
      </c>
      <c r="H1841" s="1" t="s">
        <v>14</v>
      </c>
      <c r="I1841" t="s">
        <v>21</v>
      </c>
      <c r="J1841" t="s">
        <v>271</v>
      </c>
      <c r="K1841" t="s">
        <v>272</v>
      </c>
      <c r="L1841" t="s">
        <v>273</v>
      </c>
    </row>
    <row r="1842" spans="1:12" ht="15">
      <c r="A1842" s="4">
        <v>201404</v>
      </c>
      <c r="B1842" t="s">
        <v>270</v>
      </c>
      <c r="C1842" s="5">
        <v>6550776</v>
      </c>
      <c r="D1842" s="2" t="s">
        <v>1072</v>
      </c>
      <c r="E1842" s="2" t="s">
        <v>15</v>
      </c>
      <c r="F1842" s="3">
        <v>5.27</v>
      </c>
      <c r="H1842" s="1" t="s">
        <v>14</v>
      </c>
      <c r="I1842" t="s">
        <v>1073</v>
      </c>
      <c r="J1842" t="s">
        <v>271</v>
      </c>
      <c r="K1842" t="s">
        <v>272</v>
      </c>
      <c r="L1842" t="s">
        <v>273</v>
      </c>
    </row>
    <row r="1843" spans="1:12" ht="15">
      <c r="A1843" s="4">
        <v>201404</v>
      </c>
      <c r="B1843" t="s">
        <v>270</v>
      </c>
      <c r="C1843" s="5">
        <v>6550776</v>
      </c>
      <c r="D1843" s="2" t="s">
        <v>1072</v>
      </c>
      <c r="E1843" s="2" t="s">
        <v>15</v>
      </c>
      <c r="F1843" s="3">
        <v>5.76</v>
      </c>
      <c r="H1843" s="1" t="s">
        <v>14</v>
      </c>
      <c r="I1843" t="s">
        <v>1074</v>
      </c>
      <c r="J1843" t="s">
        <v>271</v>
      </c>
      <c r="K1843" t="s">
        <v>272</v>
      </c>
      <c r="L1843" t="s">
        <v>273</v>
      </c>
    </row>
    <row r="1844" spans="1:12" ht="15">
      <c r="A1844" s="4">
        <v>201404</v>
      </c>
      <c r="B1844" t="s">
        <v>270</v>
      </c>
      <c r="C1844" s="5">
        <v>6550776</v>
      </c>
      <c r="D1844" s="2" t="s">
        <v>1072</v>
      </c>
      <c r="E1844" s="2" t="s">
        <v>15</v>
      </c>
      <c r="F1844" s="3">
        <v>11.61</v>
      </c>
      <c r="H1844" s="1" t="s">
        <v>14</v>
      </c>
      <c r="I1844" t="s">
        <v>392</v>
      </c>
      <c r="J1844" t="s">
        <v>271</v>
      </c>
      <c r="K1844" t="s">
        <v>272</v>
      </c>
      <c r="L1844" t="s">
        <v>273</v>
      </c>
    </row>
    <row r="1845" spans="1:12" ht="15">
      <c r="A1845" s="4">
        <v>201404</v>
      </c>
      <c r="B1845" t="s">
        <v>270</v>
      </c>
      <c r="C1845" s="5">
        <v>6550776</v>
      </c>
      <c r="D1845" s="2" t="s">
        <v>1072</v>
      </c>
      <c r="E1845" s="2" t="s">
        <v>15</v>
      </c>
      <c r="F1845" s="3">
        <v>13.29</v>
      </c>
      <c r="H1845" s="1" t="s">
        <v>14</v>
      </c>
      <c r="I1845" t="s">
        <v>89</v>
      </c>
      <c r="J1845" t="s">
        <v>271</v>
      </c>
      <c r="K1845" t="s">
        <v>272</v>
      </c>
      <c r="L1845" t="s">
        <v>273</v>
      </c>
    </row>
    <row r="1846" spans="1:12" ht="15">
      <c r="A1846" s="4">
        <v>201404</v>
      </c>
      <c r="B1846" t="s">
        <v>270</v>
      </c>
      <c r="C1846" s="5">
        <v>6550776</v>
      </c>
      <c r="D1846" s="2" t="s">
        <v>1072</v>
      </c>
      <c r="E1846" s="2" t="s">
        <v>15</v>
      </c>
      <c r="F1846" s="3">
        <v>15.18</v>
      </c>
      <c r="H1846" s="1" t="s">
        <v>14</v>
      </c>
      <c r="I1846" t="s">
        <v>325</v>
      </c>
      <c r="J1846" t="s">
        <v>271</v>
      </c>
      <c r="K1846" t="s">
        <v>272</v>
      </c>
      <c r="L1846" t="s">
        <v>273</v>
      </c>
    </row>
    <row r="1847" spans="1:12" ht="15">
      <c r="A1847" s="4">
        <v>201404</v>
      </c>
      <c r="B1847" t="s">
        <v>270</v>
      </c>
      <c r="C1847" s="5">
        <v>6550776</v>
      </c>
      <c r="D1847" s="2" t="s">
        <v>1072</v>
      </c>
      <c r="E1847" s="2" t="s">
        <v>15</v>
      </c>
      <c r="F1847" s="3">
        <v>48.85</v>
      </c>
      <c r="H1847" s="1" t="s">
        <v>14</v>
      </c>
      <c r="I1847" t="s">
        <v>1075</v>
      </c>
      <c r="J1847" t="s">
        <v>271</v>
      </c>
      <c r="K1847" t="s">
        <v>272</v>
      </c>
      <c r="L1847" t="s">
        <v>273</v>
      </c>
    </row>
    <row r="1848" spans="1:12" ht="15">
      <c r="A1848" s="4">
        <v>201404</v>
      </c>
      <c r="B1848" t="s">
        <v>270</v>
      </c>
      <c r="C1848" s="5">
        <v>6550776</v>
      </c>
      <c r="D1848" s="2" t="s">
        <v>1072</v>
      </c>
      <c r="E1848" s="2" t="s">
        <v>15</v>
      </c>
      <c r="F1848" s="3">
        <v>62</v>
      </c>
      <c r="H1848" s="1" t="s">
        <v>14</v>
      </c>
      <c r="I1848" t="s">
        <v>809</v>
      </c>
      <c r="J1848" t="s">
        <v>271</v>
      </c>
      <c r="K1848" t="s">
        <v>272</v>
      </c>
      <c r="L1848" t="s">
        <v>273</v>
      </c>
    </row>
    <row r="1849" spans="1:13" ht="15">
      <c r="A1849" s="4">
        <v>201404</v>
      </c>
      <c r="B1849" t="s">
        <v>270</v>
      </c>
      <c r="C1849" s="5">
        <v>6550776</v>
      </c>
      <c r="D1849" s="2" t="s">
        <v>1072</v>
      </c>
      <c r="E1849" s="2" t="s">
        <v>15</v>
      </c>
      <c r="F1849" s="3">
        <v>7000</v>
      </c>
      <c r="G1849" t="s">
        <v>1076</v>
      </c>
      <c r="H1849" s="1" t="s">
        <v>44</v>
      </c>
      <c r="I1849" t="s">
        <v>1077</v>
      </c>
      <c r="J1849" t="s">
        <v>271</v>
      </c>
      <c r="K1849" t="s">
        <v>272</v>
      </c>
      <c r="L1849" t="s">
        <v>273</v>
      </c>
      <c r="M1849">
        <v>903189</v>
      </c>
    </row>
    <row r="1850" spans="1:12" ht="15">
      <c r="A1850" s="4">
        <v>201404</v>
      </c>
      <c r="B1850" t="s">
        <v>270</v>
      </c>
      <c r="C1850" s="5">
        <v>6550776</v>
      </c>
      <c r="D1850" s="2" t="s">
        <v>1072</v>
      </c>
      <c r="E1850" s="2" t="s">
        <v>15</v>
      </c>
      <c r="F1850" s="3">
        <v>14050</v>
      </c>
      <c r="H1850" s="1" t="s">
        <v>44</v>
      </c>
      <c r="I1850" t="s">
        <v>1078</v>
      </c>
      <c r="J1850" t="s">
        <v>271</v>
      </c>
      <c r="K1850" t="s">
        <v>272</v>
      </c>
      <c r="L1850" t="s">
        <v>273</v>
      </c>
    </row>
    <row r="1851" spans="1:13" ht="15">
      <c r="A1851" s="4">
        <v>201404</v>
      </c>
      <c r="B1851" t="s">
        <v>270</v>
      </c>
      <c r="C1851" s="5">
        <v>6550776</v>
      </c>
      <c r="D1851" s="2" t="s">
        <v>1072</v>
      </c>
      <c r="E1851" s="2" t="s">
        <v>15</v>
      </c>
      <c r="F1851" s="3">
        <v>14050</v>
      </c>
      <c r="G1851" t="s">
        <v>1076</v>
      </c>
      <c r="H1851" s="1" t="s">
        <v>44</v>
      </c>
      <c r="I1851" t="s">
        <v>1079</v>
      </c>
      <c r="J1851" t="s">
        <v>271</v>
      </c>
      <c r="K1851" t="s">
        <v>272</v>
      </c>
      <c r="L1851" t="s">
        <v>273</v>
      </c>
      <c r="M1851">
        <v>903189</v>
      </c>
    </row>
    <row r="1852" spans="1:13" ht="15">
      <c r="A1852" s="4">
        <v>201404</v>
      </c>
      <c r="B1852" t="s">
        <v>270</v>
      </c>
      <c r="C1852" s="5">
        <v>6550776</v>
      </c>
      <c r="D1852" s="2" t="s">
        <v>1072</v>
      </c>
      <c r="E1852" s="2" t="s">
        <v>15</v>
      </c>
      <c r="F1852" s="3">
        <v>28154.01</v>
      </c>
      <c r="G1852" t="s">
        <v>72</v>
      </c>
      <c r="H1852" s="1" t="s">
        <v>44</v>
      </c>
      <c r="I1852" t="s">
        <v>1080</v>
      </c>
      <c r="J1852" t="s">
        <v>271</v>
      </c>
      <c r="K1852" t="s">
        <v>272</v>
      </c>
      <c r="L1852" t="s">
        <v>273</v>
      </c>
      <c r="M1852">
        <v>903210</v>
      </c>
    </row>
    <row r="1853" spans="1:12" ht="15">
      <c r="A1853" s="4">
        <v>201405</v>
      </c>
      <c r="B1853" t="s">
        <v>270</v>
      </c>
      <c r="C1853" s="5">
        <v>6550776</v>
      </c>
      <c r="D1853" s="2" t="s">
        <v>1072</v>
      </c>
      <c r="E1853" s="2" t="s">
        <v>15</v>
      </c>
      <c r="F1853" s="3">
        <v>0</v>
      </c>
      <c r="H1853" s="1" t="s">
        <v>44</v>
      </c>
      <c r="I1853" t="s">
        <v>1078</v>
      </c>
      <c r="J1853" t="s">
        <v>271</v>
      </c>
      <c r="K1853" t="s">
        <v>272</v>
      </c>
      <c r="L1853" t="s">
        <v>273</v>
      </c>
    </row>
    <row r="1854" spans="1:13" ht="15">
      <c r="A1854" s="4">
        <v>201405</v>
      </c>
      <c r="B1854" t="s">
        <v>270</v>
      </c>
      <c r="C1854" s="5">
        <v>6550776</v>
      </c>
      <c r="D1854" s="2" t="s">
        <v>1072</v>
      </c>
      <c r="E1854" s="2" t="s">
        <v>15</v>
      </c>
      <c r="F1854" s="3">
        <v>0</v>
      </c>
      <c r="G1854" t="s">
        <v>294</v>
      </c>
      <c r="H1854" s="1" t="s">
        <v>44</v>
      </c>
      <c r="I1854" t="s">
        <v>1081</v>
      </c>
      <c r="J1854" t="s">
        <v>271</v>
      </c>
      <c r="K1854" t="s">
        <v>272</v>
      </c>
      <c r="L1854" t="s">
        <v>273</v>
      </c>
      <c r="M1854">
        <v>902339</v>
      </c>
    </row>
    <row r="1855" spans="1:13" ht="15">
      <c r="A1855" s="4">
        <v>201405</v>
      </c>
      <c r="B1855" t="s">
        <v>270</v>
      </c>
      <c r="C1855" s="5">
        <v>6550776</v>
      </c>
      <c r="D1855" s="2" t="s">
        <v>1072</v>
      </c>
      <c r="E1855" s="2" t="s">
        <v>15</v>
      </c>
      <c r="F1855" s="3">
        <v>200</v>
      </c>
      <c r="G1855" t="s">
        <v>1082</v>
      </c>
      <c r="H1855" s="1" t="s">
        <v>44</v>
      </c>
      <c r="I1855" t="e">
        <f>-labor-OES Chemical Analysis with Carbon and Sulfur by combustion (if required)</f>
        <v>#NAME?</v>
      </c>
      <c r="J1855" t="s">
        <v>271</v>
      </c>
      <c r="K1855" t="s">
        <v>272</v>
      </c>
      <c r="L1855" t="s">
        <v>273</v>
      </c>
      <c r="M1855">
        <v>904324</v>
      </c>
    </row>
    <row r="1856" spans="1:13" ht="15">
      <c r="A1856" s="4">
        <v>201405</v>
      </c>
      <c r="B1856" t="s">
        <v>270</v>
      </c>
      <c r="C1856" s="5">
        <v>6550776</v>
      </c>
      <c r="D1856" s="2" t="s">
        <v>1072</v>
      </c>
      <c r="E1856" s="2" t="s">
        <v>15</v>
      </c>
      <c r="F1856" s="3">
        <v>398</v>
      </c>
      <c r="G1856" t="s">
        <v>686</v>
      </c>
      <c r="H1856" s="1" t="s">
        <v>44</v>
      </c>
      <c r="I1856" t="e">
        <f>-T+M Estimate FOR HEAT treating services FOR Two PIPE lines on TC2 HRH Bypass Piping-details on HEAT treating TO be provided</f>
        <v>#NAME?</v>
      </c>
      <c r="J1856" t="s">
        <v>271</v>
      </c>
      <c r="K1856" t="s">
        <v>272</v>
      </c>
      <c r="L1856" t="s">
        <v>273</v>
      </c>
      <c r="M1856">
        <v>902721</v>
      </c>
    </row>
    <row r="1857" spans="1:14" ht="15">
      <c r="A1857" s="4">
        <v>201405</v>
      </c>
      <c r="B1857" t="s">
        <v>270</v>
      </c>
      <c r="C1857" s="5">
        <v>6550776</v>
      </c>
      <c r="D1857" s="2" t="s">
        <v>1072</v>
      </c>
      <c r="E1857" s="2" t="s">
        <v>15</v>
      </c>
      <c r="F1857" s="3">
        <v>442.38</v>
      </c>
      <c r="G1857" t="s">
        <v>57</v>
      </c>
      <c r="H1857" s="1" t="s">
        <v>44</v>
      </c>
      <c r="I1857">
        <f>-18016/818177/1</f>
        <v>-0.022019685227035225</v>
      </c>
      <c r="J1857" t="s">
        <v>271</v>
      </c>
      <c r="K1857" t="s">
        <v>272</v>
      </c>
      <c r="L1857" t="s">
        <v>273</v>
      </c>
      <c r="N1857" t="s">
        <v>58</v>
      </c>
    </row>
    <row r="1858" spans="1:14" ht="15">
      <c r="A1858" s="4">
        <v>201405</v>
      </c>
      <c r="B1858" t="s">
        <v>270</v>
      </c>
      <c r="C1858" s="5">
        <v>6550776</v>
      </c>
      <c r="D1858" s="2" t="s">
        <v>1072</v>
      </c>
      <c r="E1858" s="2" t="s">
        <v>15</v>
      </c>
      <c r="F1858" s="3">
        <v>579.66</v>
      </c>
      <c r="G1858" t="s">
        <v>57</v>
      </c>
      <c r="H1858" s="1" t="s">
        <v>44</v>
      </c>
      <c r="I1858">
        <f>-18016/818160/1</f>
        <v>-0.02202014275936247</v>
      </c>
      <c r="J1858" t="s">
        <v>271</v>
      </c>
      <c r="K1858" t="s">
        <v>272</v>
      </c>
      <c r="L1858" t="s">
        <v>273</v>
      </c>
      <c r="N1858" t="s">
        <v>58</v>
      </c>
    </row>
    <row r="1859" spans="1:13" ht="15">
      <c r="A1859" s="4">
        <v>201405</v>
      </c>
      <c r="B1859" t="s">
        <v>270</v>
      </c>
      <c r="C1859" s="5">
        <v>6550776</v>
      </c>
      <c r="D1859" s="2" t="s">
        <v>1072</v>
      </c>
      <c r="E1859" s="2" t="s">
        <v>15</v>
      </c>
      <c r="F1859" s="3">
        <v>1065</v>
      </c>
      <c r="G1859" t="s">
        <v>72</v>
      </c>
      <c r="H1859" s="1" t="s">
        <v>44</v>
      </c>
      <c r="I1859" t="s">
        <v>1080</v>
      </c>
      <c r="J1859" t="s">
        <v>271</v>
      </c>
      <c r="K1859" t="s">
        <v>272</v>
      </c>
      <c r="L1859" t="s">
        <v>273</v>
      </c>
      <c r="M1859">
        <v>903210</v>
      </c>
    </row>
    <row r="1860" spans="1:13" ht="15">
      <c r="A1860" s="4">
        <v>201405</v>
      </c>
      <c r="B1860" t="s">
        <v>270</v>
      </c>
      <c r="C1860" s="5">
        <v>6550776</v>
      </c>
      <c r="D1860" s="2" t="s">
        <v>1072</v>
      </c>
      <c r="E1860" s="2" t="s">
        <v>15</v>
      </c>
      <c r="F1860" s="3">
        <v>1709</v>
      </c>
      <c r="G1860" t="s">
        <v>686</v>
      </c>
      <c r="H1860" s="1" t="s">
        <v>44</v>
      </c>
      <c r="I1860" t="e">
        <f>-T+M Estimate FOR HEAT treating services FOR Two PIPE lines on TC2 HRH Bypass Piping-details on HEAT treating TO be provided</f>
        <v>#NAME?</v>
      </c>
      <c r="J1860" t="s">
        <v>271</v>
      </c>
      <c r="K1860" t="s">
        <v>272</v>
      </c>
      <c r="L1860" t="s">
        <v>273</v>
      </c>
      <c r="M1860">
        <v>902721</v>
      </c>
    </row>
    <row r="1861" spans="1:13" ht="15">
      <c r="A1861" s="4">
        <v>201405</v>
      </c>
      <c r="B1861" t="s">
        <v>270</v>
      </c>
      <c r="C1861" s="5">
        <v>6550776</v>
      </c>
      <c r="D1861" s="2" t="s">
        <v>1072</v>
      </c>
      <c r="E1861" s="2" t="s">
        <v>15</v>
      </c>
      <c r="F1861" s="3">
        <v>2128.7</v>
      </c>
      <c r="G1861" t="s">
        <v>1083</v>
      </c>
      <c r="H1861" s="1" t="s">
        <v>44</v>
      </c>
      <c r="I1861" t="e">
        <f>-LABORE/MATERIAL-T+M work FOR NDE of Two PIPE lines at Trimble County-SCOPE as definded IN provided Estimate</f>
        <v>#NAME?</v>
      </c>
      <c r="J1861" t="s">
        <v>271</v>
      </c>
      <c r="K1861" t="s">
        <v>272</v>
      </c>
      <c r="L1861" t="s">
        <v>273</v>
      </c>
      <c r="M1861">
        <v>902742</v>
      </c>
    </row>
    <row r="1862" spans="1:13" ht="15">
      <c r="A1862" s="4">
        <v>201405</v>
      </c>
      <c r="B1862" t="s">
        <v>270</v>
      </c>
      <c r="C1862" s="5">
        <v>6550776</v>
      </c>
      <c r="D1862" s="2" t="s">
        <v>1072</v>
      </c>
      <c r="E1862" s="2" t="s">
        <v>15</v>
      </c>
      <c r="F1862" s="3">
        <v>5548.58</v>
      </c>
      <c r="G1862" t="s">
        <v>1083</v>
      </c>
      <c r="H1862" s="1" t="s">
        <v>44</v>
      </c>
      <c r="I1862" t="e">
        <f>-LABORE/MATERIAL-T+M work FOR NDE of Two PIPE lines at Trimble County-SCOPE as definded IN provided Estimate</f>
        <v>#NAME?</v>
      </c>
      <c r="J1862" t="s">
        <v>271</v>
      </c>
      <c r="K1862" t="s">
        <v>272</v>
      </c>
      <c r="L1862" t="s">
        <v>273</v>
      </c>
      <c r="M1862">
        <v>902742</v>
      </c>
    </row>
    <row r="1863" spans="1:13" ht="15">
      <c r="A1863" s="4">
        <v>201405</v>
      </c>
      <c r="B1863" t="s">
        <v>270</v>
      </c>
      <c r="C1863" s="5">
        <v>6550776</v>
      </c>
      <c r="D1863" s="2" t="s">
        <v>1072</v>
      </c>
      <c r="E1863" s="2" t="s">
        <v>15</v>
      </c>
      <c r="F1863" s="3">
        <v>7373</v>
      </c>
      <c r="G1863" t="s">
        <v>294</v>
      </c>
      <c r="H1863" s="1" t="s">
        <v>44</v>
      </c>
      <c r="I1863" t="s">
        <v>1081</v>
      </c>
      <c r="J1863" t="s">
        <v>271</v>
      </c>
      <c r="K1863" t="s">
        <v>272</v>
      </c>
      <c r="L1863" t="s">
        <v>273</v>
      </c>
      <c r="M1863">
        <v>902339</v>
      </c>
    </row>
    <row r="1864" spans="1:13" ht="15">
      <c r="A1864" s="4">
        <v>201405</v>
      </c>
      <c r="B1864" t="s">
        <v>270</v>
      </c>
      <c r="C1864" s="5">
        <v>6550776</v>
      </c>
      <c r="D1864" s="2" t="s">
        <v>1072</v>
      </c>
      <c r="E1864" s="2" t="s">
        <v>15</v>
      </c>
      <c r="F1864" s="3">
        <v>9661.05</v>
      </c>
      <c r="G1864" t="s">
        <v>294</v>
      </c>
      <c r="H1864" s="1" t="s">
        <v>44</v>
      </c>
      <c r="I1864" t="s">
        <v>1084</v>
      </c>
      <c r="J1864" t="s">
        <v>271</v>
      </c>
      <c r="K1864" t="s">
        <v>272</v>
      </c>
      <c r="L1864" t="s">
        <v>273</v>
      </c>
      <c r="M1864">
        <v>902339</v>
      </c>
    </row>
    <row r="1865" spans="1:13" ht="15">
      <c r="A1865" s="4">
        <v>201405</v>
      </c>
      <c r="B1865" t="s">
        <v>270</v>
      </c>
      <c r="C1865" s="5">
        <v>6550776</v>
      </c>
      <c r="D1865" s="2" t="s">
        <v>1072</v>
      </c>
      <c r="E1865" s="2" t="s">
        <v>15</v>
      </c>
      <c r="F1865" s="3">
        <v>18531.5</v>
      </c>
      <c r="G1865" t="s">
        <v>686</v>
      </c>
      <c r="H1865" s="1" t="s">
        <v>44</v>
      </c>
      <c r="I1865" t="e">
        <f>-T+M Estimate FOR HEAT treating services FOR Two PIPE lines on TC2 HRH Bypass Piping-details on HEAT treating TO be provided</f>
        <v>#NAME?</v>
      </c>
      <c r="J1865" t="s">
        <v>271</v>
      </c>
      <c r="K1865" t="s">
        <v>272</v>
      </c>
      <c r="L1865" t="s">
        <v>273</v>
      </c>
      <c r="M1865">
        <v>902721</v>
      </c>
    </row>
    <row r="1866" spans="1:13" ht="15">
      <c r="A1866" s="4">
        <v>201405</v>
      </c>
      <c r="B1866" t="s">
        <v>270</v>
      </c>
      <c r="C1866" s="5">
        <v>6550776</v>
      </c>
      <c r="D1866" s="2" t="s">
        <v>1072</v>
      </c>
      <c r="E1866" s="2" t="s">
        <v>15</v>
      </c>
      <c r="F1866" s="3">
        <v>29291.48</v>
      </c>
      <c r="G1866" t="s">
        <v>93</v>
      </c>
      <c r="H1866" s="1" t="s">
        <v>44</v>
      </c>
      <c r="I1866" t="e">
        <f>-labor/MATERIAL-Onsite beveling of multiple PIPE lines as listed IN quote-T+M NTE quote FOR the work</f>
        <v>#NAME?</v>
      </c>
      <c r="J1866" t="s">
        <v>271</v>
      </c>
      <c r="K1866" t="s">
        <v>272</v>
      </c>
      <c r="L1866" t="s">
        <v>273</v>
      </c>
      <c r="M1866">
        <v>902478</v>
      </c>
    </row>
    <row r="1867" spans="1:13" ht="15">
      <c r="A1867" s="4">
        <v>201405</v>
      </c>
      <c r="B1867" t="s">
        <v>270</v>
      </c>
      <c r="C1867" s="5">
        <v>6550776</v>
      </c>
      <c r="D1867" s="2" t="s">
        <v>1072</v>
      </c>
      <c r="E1867" s="2" t="s">
        <v>15</v>
      </c>
      <c r="F1867" s="3">
        <v>33121.72</v>
      </c>
      <c r="G1867" t="s">
        <v>72</v>
      </c>
      <c r="H1867" s="1" t="s">
        <v>44</v>
      </c>
      <c r="I1867" t="s">
        <v>1080</v>
      </c>
      <c r="J1867" t="s">
        <v>271</v>
      </c>
      <c r="K1867" t="s">
        <v>272</v>
      </c>
      <c r="L1867" t="s">
        <v>273</v>
      </c>
      <c r="M1867">
        <v>903210</v>
      </c>
    </row>
    <row r="1868" spans="1:12" ht="15">
      <c r="A1868" s="4">
        <v>201406</v>
      </c>
      <c r="B1868" t="s">
        <v>270</v>
      </c>
      <c r="C1868" s="5">
        <v>6550776</v>
      </c>
      <c r="D1868" s="2" t="s">
        <v>1072</v>
      </c>
      <c r="E1868" s="2" t="s">
        <v>15</v>
      </c>
      <c r="F1868" s="3">
        <v>0</v>
      </c>
      <c r="H1868" s="1" t="s">
        <v>44</v>
      </c>
      <c r="I1868" t="s">
        <v>1078</v>
      </c>
      <c r="J1868" t="s">
        <v>271</v>
      </c>
      <c r="K1868" t="s">
        <v>272</v>
      </c>
      <c r="L1868" t="s">
        <v>273</v>
      </c>
    </row>
    <row r="1869" spans="1:13" ht="15">
      <c r="A1869" s="4">
        <v>201406</v>
      </c>
      <c r="B1869" t="s">
        <v>270</v>
      </c>
      <c r="C1869" s="5">
        <v>6550776</v>
      </c>
      <c r="D1869" s="2" t="s">
        <v>1072</v>
      </c>
      <c r="E1869" s="2" t="s">
        <v>15</v>
      </c>
      <c r="F1869" s="3">
        <v>23871</v>
      </c>
      <c r="G1869" t="s">
        <v>1076</v>
      </c>
      <c r="H1869" s="1" t="s">
        <v>44</v>
      </c>
      <c r="I1869" t="s">
        <v>1085</v>
      </c>
      <c r="J1869" t="s">
        <v>271</v>
      </c>
      <c r="K1869" t="s">
        <v>272</v>
      </c>
      <c r="L1869" t="s">
        <v>273</v>
      </c>
      <c r="M1869">
        <v>902520</v>
      </c>
    </row>
    <row r="1870" spans="1:12" ht="15">
      <c r="A1870" s="4">
        <v>201407</v>
      </c>
      <c r="B1870" t="s">
        <v>270</v>
      </c>
      <c r="C1870" s="5">
        <v>6550776</v>
      </c>
      <c r="D1870" s="2" t="s">
        <v>1072</v>
      </c>
      <c r="E1870" s="2" t="s">
        <v>15</v>
      </c>
      <c r="F1870" s="3">
        <v>0</v>
      </c>
      <c r="H1870" s="1" t="s">
        <v>44</v>
      </c>
      <c r="I1870" t="s">
        <v>1078</v>
      </c>
      <c r="J1870" t="s">
        <v>271</v>
      </c>
      <c r="K1870" t="s">
        <v>272</v>
      </c>
      <c r="L1870" t="s">
        <v>273</v>
      </c>
    </row>
    <row r="1871" spans="1:12" ht="15">
      <c r="A1871" s="4">
        <v>201408</v>
      </c>
      <c r="B1871" t="s">
        <v>270</v>
      </c>
      <c r="C1871" s="5">
        <v>6550776</v>
      </c>
      <c r="D1871" s="2" t="s">
        <v>1072</v>
      </c>
      <c r="E1871" s="2" t="s">
        <v>15</v>
      </c>
      <c r="F1871" s="3">
        <v>-14050</v>
      </c>
      <c r="H1871" s="1" t="s">
        <v>44</v>
      </c>
      <c r="I1871" t="s">
        <v>1078</v>
      </c>
      <c r="J1871" t="s">
        <v>271</v>
      </c>
      <c r="K1871" t="s">
        <v>272</v>
      </c>
      <c r="L1871" t="s">
        <v>273</v>
      </c>
    </row>
    <row r="1872" spans="1:13" ht="15">
      <c r="A1872" s="4">
        <v>201404</v>
      </c>
      <c r="B1872" t="s">
        <v>270</v>
      </c>
      <c r="C1872" s="5">
        <v>6550776</v>
      </c>
      <c r="D1872" s="2" t="s">
        <v>1072</v>
      </c>
      <c r="E1872" s="2" t="s">
        <v>15</v>
      </c>
      <c r="F1872" s="3">
        <v>1271</v>
      </c>
      <c r="G1872" t="s">
        <v>1076</v>
      </c>
      <c r="H1872" s="1" t="s">
        <v>78</v>
      </c>
      <c r="I1872" t="s">
        <v>1086</v>
      </c>
      <c r="J1872" t="s">
        <v>271</v>
      </c>
      <c r="K1872" t="s">
        <v>272</v>
      </c>
      <c r="L1872" t="s">
        <v>273</v>
      </c>
      <c r="M1872">
        <v>902520</v>
      </c>
    </row>
    <row r="1873" spans="1:13" ht="15">
      <c r="A1873" s="4">
        <v>201404</v>
      </c>
      <c r="B1873" t="s">
        <v>270</v>
      </c>
      <c r="C1873" s="5">
        <v>6550776</v>
      </c>
      <c r="D1873" s="2" t="s">
        <v>1072</v>
      </c>
      <c r="E1873" s="2" t="s">
        <v>15</v>
      </c>
      <c r="F1873" s="3">
        <v>20911</v>
      </c>
      <c r="G1873" t="s">
        <v>1076</v>
      </c>
      <c r="H1873" s="1" t="s">
        <v>78</v>
      </c>
      <c r="I1873" t="s">
        <v>1087</v>
      </c>
      <c r="J1873" t="s">
        <v>271</v>
      </c>
      <c r="K1873" t="s">
        <v>272</v>
      </c>
      <c r="L1873" t="s">
        <v>273</v>
      </c>
      <c r="M1873">
        <v>902520</v>
      </c>
    </row>
    <row r="1874" spans="1:13" ht="15">
      <c r="A1874" s="4">
        <v>201405</v>
      </c>
      <c r="B1874" t="s">
        <v>270</v>
      </c>
      <c r="C1874" s="5">
        <v>6550776</v>
      </c>
      <c r="D1874" s="2" t="s">
        <v>1072</v>
      </c>
      <c r="E1874" s="2" t="s">
        <v>15</v>
      </c>
      <c r="F1874" s="3">
        <v>8468.18</v>
      </c>
      <c r="G1874" t="s">
        <v>73</v>
      </c>
      <c r="H1874" s="1" t="s">
        <v>46</v>
      </c>
      <c r="I1874" t="s">
        <v>74</v>
      </c>
      <c r="J1874" t="s">
        <v>271</v>
      </c>
      <c r="K1874" t="s">
        <v>272</v>
      </c>
      <c r="L1874" t="s">
        <v>273</v>
      </c>
      <c r="M1874">
        <v>905953</v>
      </c>
    </row>
    <row r="1875" spans="1:13" ht="15">
      <c r="A1875" s="4">
        <v>201407</v>
      </c>
      <c r="B1875" t="s">
        <v>270</v>
      </c>
      <c r="C1875" s="5">
        <v>6550776</v>
      </c>
      <c r="D1875" s="2" t="s">
        <v>1072</v>
      </c>
      <c r="E1875" s="2" t="s">
        <v>15</v>
      </c>
      <c r="F1875" s="3">
        <v>14744.07</v>
      </c>
      <c r="G1875" t="s">
        <v>73</v>
      </c>
      <c r="H1875" s="1" t="s">
        <v>46</v>
      </c>
      <c r="I1875" t="s">
        <v>75</v>
      </c>
      <c r="J1875" t="s">
        <v>271</v>
      </c>
      <c r="K1875" t="s">
        <v>272</v>
      </c>
      <c r="L1875" t="s">
        <v>273</v>
      </c>
      <c r="M1875">
        <v>908282</v>
      </c>
    </row>
    <row r="1876" spans="1:13" ht="15">
      <c r="A1876" s="4">
        <v>201408</v>
      </c>
      <c r="B1876" t="s">
        <v>270</v>
      </c>
      <c r="C1876" s="5">
        <v>6550776</v>
      </c>
      <c r="D1876" s="2" t="s">
        <v>1072</v>
      </c>
      <c r="E1876" s="2" t="s">
        <v>15</v>
      </c>
      <c r="F1876" s="3">
        <v>85.64</v>
      </c>
      <c r="G1876" t="s">
        <v>49</v>
      </c>
      <c r="H1876" s="1" t="s">
        <v>46</v>
      </c>
      <c r="I1876" t="s">
        <v>1088</v>
      </c>
      <c r="J1876" t="s">
        <v>271</v>
      </c>
      <c r="K1876" t="s">
        <v>272</v>
      </c>
      <c r="L1876" t="s">
        <v>273</v>
      </c>
      <c r="M1876">
        <v>910626</v>
      </c>
    </row>
    <row r="1877" spans="1:13" ht="15">
      <c r="A1877" s="4">
        <v>201408</v>
      </c>
      <c r="B1877" t="s">
        <v>270</v>
      </c>
      <c r="C1877" s="5">
        <v>6550776</v>
      </c>
      <c r="D1877" s="2" t="s">
        <v>1072</v>
      </c>
      <c r="E1877" s="2" t="s">
        <v>15</v>
      </c>
      <c r="F1877" s="3">
        <v>617.87</v>
      </c>
      <c r="G1877" t="s">
        <v>49</v>
      </c>
      <c r="H1877" s="1" t="s">
        <v>46</v>
      </c>
      <c r="I1877" t="s">
        <v>1089</v>
      </c>
      <c r="J1877" t="s">
        <v>271</v>
      </c>
      <c r="K1877" t="s">
        <v>272</v>
      </c>
      <c r="L1877" t="s">
        <v>273</v>
      </c>
      <c r="M1877">
        <v>911250</v>
      </c>
    </row>
    <row r="1878" spans="1:13" ht="15">
      <c r="A1878" s="4">
        <v>201408</v>
      </c>
      <c r="B1878" t="s">
        <v>270</v>
      </c>
      <c r="C1878" s="5">
        <v>6550776</v>
      </c>
      <c r="D1878" s="2" t="s">
        <v>1072</v>
      </c>
      <c r="E1878" s="2" t="s">
        <v>15</v>
      </c>
      <c r="F1878" s="3">
        <v>733.89</v>
      </c>
      <c r="G1878" t="s">
        <v>49</v>
      </c>
      <c r="H1878" s="1" t="s">
        <v>46</v>
      </c>
      <c r="I1878" t="s">
        <v>1090</v>
      </c>
      <c r="J1878" t="s">
        <v>271</v>
      </c>
      <c r="K1878" t="s">
        <v>272</v>
      </c>
      <c r="L1878" t="s">
        <v>273</v>
      </c>
      <c r="M1878">
        <v>910626</v>
      </c>
    </row>
    <row r="1879" spans="1:12" ht="15">
      <c r="A1879" s="4">
        <v>201404</v>
      </c>
      <c r="B1879" t="s">
        <v>270</v>
      </c>
      <c r="C1879" s="5">
        <v>6550776</v>
      </c>
      <c r="D1879" s="2" t="s">
        <v>1072</v>
      </c>
      <c r="E1879" s="2" t="s">
        <v>15</v>
      </c>
      <c r="F1879" s="3">
        <v>48220</v>
      </c>
      <c r="H1879" s="1" t="s">
        <v>60</v>
      </c>
      <c r="I1879" t="s">
        <v>1091</v>
      </c>
      <c r="J1879" t="s">
        <v>271</v>
      </c>
      <c r="K1879" t="s">
        <v>272</v>
      </c>
      <c r="L1879" t="s">
        <v>273</v>
      </c>
    </row>
    <row r="1880" spans="1:12" ht="15">
      <c r="A1880" s="4">
        <v>201405</v>
      </c>
      <c r="B1880" t="s">
        <v>270</v>
      </c>
      <c r="C1880" s="5">
        <v>6550776</v>
      </c>
      <c r="D1880" s="2" t="s">
        <v>1072</v>
      </c>
      <c r="E1880" s="2" t="s">
        <v>15</v>
      </c>
      <c r="F1880" s="3">
        <v>0</v>
      </c>
      <c r="H1880" s="1" t="s">
        <v>60</v>
      </c>
      <c r="I1880" t="s">
        <v>1091</v>
      </c>
      <c r="J1880" t="s">
        <v>271</v>
      </c>
      <c r="K1880" t="s">
        <v>272</v>
      </c>
      <c r="L1880" t="s">
        <v>273</v>
      </c>
    </row>
    <row r="1881" spans="1:12" ht="15">
      <c r="A1881" s="4">
        <v>201406</v>
      </c>
      <c r="B1881" t="s">
        <v>270</v>
      </c>
      <c r="C1881" s="5">
        <v>6550776</v>
      </c>
      <c r="D1881" s="2" t="s">
        <v>1072</v>
      </c>
      <c r="E1881" s="2" t="s">
        <v>15</v>
      </c>
      <c r="F1881" s="3">
        <v>-48220</v>
      </c>
      <c r="H1881" s="1" t="s">
        <v>60</v>
      </c>
      <c r="I1881" t="s">
        <v>1091</v>
      </c>
      <c r="J1881" t="s">
        <v>271</v>
      </c>
      <c r="K1881" t="s">
        <v>272</v>
      </c>
      <c r="L1881" t="s">
        <v>273</v>
      </c>
    </row>
    <row r="1882" spans="1:14" ht="15">
      <c r="A1882" s="4">
        <v>201406</v>
      </c>
      <c r="B1882" t="s">
        <v>270</v>
      </c>
      <c r="C1882" s="5">
        <v>6550776</v>
      </c>
      <c r="D1882" s="2" t="s">
        <v>1072</v>
      </c>
      <c r="E1882" s="2" t="s">
        <v>15</v>
      </c>
      <c r="F1882" s="3">
        <v>2893.2</v>
      </c>
      <c r="G1882" t="s">
        <v>57</v>
      </c>
      <c r="H1882" s="1" t="s">
        <v>60</v>
      </c>
      <c r="I1882">
        <f>-22695/10088332/1</f>
        <v>-0.0022496285808199018</v>
      </c>
      <c r="J1882" t="s">
        <v>271</v>
      </c>
      <c r="K1882" t="s">
        <v>272</v>
      </c>
      <c r="L1882" t="s">
        <v>273</v>
      </c>
      <c r="N1882" t="s">
        <v>58</v>
      </c>
    </row>
    <row r="1883" spans="1:13" ht="15">
      <c r="A1883" s="4">
        <v>201406</v>
      </c>
      <c r="B1883" t="s">
        <v>270</v>
      </c>
      <c r="C1883" s="5">
        <v>6550776</v>
      </c>
      <c r="D1883" s="2" t="s">
        <v>1072</v>
      </c>
      <c r="E1883" s="2" t="s">
        <v>15</v>
      </c>
      <c r="F1883" s="3">
        <v>4960</v>
      </c>
      <c r="G1883" t="s">
        <v>1076</v>
      </c>
      <c r="H1883" s="1" t="s">
        <v>60</v>
      </c>
      <c r="I1883" t="e">
        <f>-Shipping charges-air freight DAP jobsite Bedford,KY</f>
        <v>#NAME?</v>
      </c>
      <c r="J1883" t="s">
        <v>271</v>
      </c>
      <c r="K1883" t="s">
        <v>272</v>
      </c>
      <c r="L1883" t="s">
        <v>273</v>
      </c>
      <c r="M1883">
        <v>901574</v>
      </c>
    </row>
    <row r="1884" spans="1:13" ht="15">
      <c r="A1884" s="4">
        <v>201406</v>
      </c>
      <c r="B1884" t="s">
        <v>270</v>
      </c>
      <c r="C1884" s="5">
        <v>6550776</v>
      </c>
      <c r="D1884" s="2" t="s">
        <v>1072</v>
      </c>
      <c r="E1884" s="2" t="s">
        <v>15</v>
      </c>
      <c r="F1884" s="3">
        <v>43260</v>
      </c>
      <c r="G1884" t="s">
        <v>1076</v>
      </c>
      <c r="H1884" s="1" t="s">
        <v>60</v>
      </c>
      <c r="I1884" t="s">
        <v>1092</v>
      </c>
      <c r="J1884" t="s">
        <v>271</v>
      </c>
      <c r="K1884" t="s">
        <v>272</v>
      </c>
      <c r="L1884" t="s">
        <v>273</v>
      </c>
      <c r="M1884">
        <v>901574</v>
      </c>
    </row>
    <row r="1885" spans="1:14" ht="15">
      <c r="A1885" s="4">
        <v>201408</v>
      </c>
      <c r="B1885" t="s">
        <v>270</v>
      </c>
      <c r="C1885" s="5">
        <v>6550776</v>
      </c>
      <c r="D1885" s="2" t="s">
        <v>1072</v>
      </c>
      <c r="E1885" s="2" t="s">
        <v>15</v>
      </c>
      <c r="F1885" s="3">
        <v>1363.42</v>
      </c>
      <c r="G1885" t="s">
        <v>123</v>
      </c>
      <c r="H1885" s="1" t="s">
        <v>60</v>
      </c>
      <c r="I1885" t="s">
        <v>1093</v>
      </c>
      <c r="J1885" t="s">
        <v>271</v>
      </c>
      <c r="K1885" t="s">
        <v>272</v>
      </c>
      <c r="L1885" t="s">
        <v>273</v>
      </c>
      <c r="N1885" t="s">
        <v>124</v>
      </c>
    </row>
    <row r="1886" spans="1:12" ht="15">
      <c r="A1886" s="4">
        <v>201404</v>
      </c>
      <c r="B1886" t="s">
        <v>270</v>
      </c>
      <c r="C1886" s="5">
        <v>6550776</v>
      </c>
      <c r="D1886" s="2" t="s">
        <v>1072</v>
      </c>
      <c r="E1886" s="2" t="s">
        <v>15</v>
      </c>
      <c r="F1886" s="3">
        <v>1.68</v>
      </c>
      <c r="H1886" s="1" t="s">
        <v>66</v>
      </c>
      <c r="I1886" t="s">
        <v>67</v>
      </c>
      <c r="J1886" t="s">
        <v>271</v>
      </c>
      <c r="K1886" t="s">
        <v>272</v>
      </c>
      <c r="L1886" t="s">
        <v>273</v>
      </c>
    </row>
    <row r="1887" spans="1:14" ht="15">
      <c r="A1887" s="4">
        <v>201404</v>
      </c>
      <c r="B1887" t="s">
        <v>270</v>
      </c>
      <c r="C1887" s="5">
        <v>6550776</v>
      </c>
      <c r="D1887" s="2" t="s">
        <v>1072</v>
      </c>
      <c r="E1887" s="2" t="s">
        <v>15</v>
      </c>
      <c r="F1887" s="3">
        <v>4.92</v>
      </c>
      <c r="G1887" t="s">
        <v>57</v>
      </c>
      <c r="H1887" s="1" t="s">
        <v>69</v>
      </c>
      <c r="I1887">
        <f>-22695/10087495/1</f>
        <v>-0.00224981524154411</v>
      </c>
      <c r="J1887" t="s">
        <v>271</v>
      </c>
      <c r="K1887" t="s">
        <v>272</v>
      </c>
      <c r="L1887" t="s">
        <v>273</v>
      </c>
      <c r="N1887" t="s">
        <v>58</v>
      </c>
    </row>
    <row r="1888" spans="1:12" ht="15">
      <c r="A1888" s="4">
        <v>201404</v>
      </c>
      <c r="B1888" t="s">
        <v>270</v>
      </c>
      <c r="C1888" s="5">
        <v>6550776</v>
      </c>
      <c r="D1888" s="2" t="s">
        <v>1072</v>
      </c>
      <c r="E1888" s="2" t="s">
        <v>15</v>
      </c>
      <c r="F1888" s="3">
        <v>82.02</v>
      </c>
      <c r="G1888" t="s">
        <v>1076</v>
      </c>
      <c r="H1888" s="1" t="s">
        <v>69</v>
      </c>
      <c r="I1888" t="e">
        <f>-freight</f>
        <v>#NAME?</v>
      </c>
      <c r="J1888" t="s">
        <v>271</v>
      </c>
      <c r="K1888" t="s">
        <v>272</v>
      </c>
      <c r="L1888" t="s">
        <v>273</v>
      </c>
    </row>
    <row r="1889" spans="1:14" ht="15">
      <c r="A1889" s="4">
        <v>201406</v>
      </c>
      <c r="B1889" t="s">
        <v>270</v>
      </c>
      <c r="C1889" s="5">
        <v>6550776</v>
      </c>
      <c r="D1889" s="2" t="s">
        <v>1072</v>
      </c>
      <c r="E1889" s="2" t="s">
        <v>15</v>
      </c>
      <c r="F1889" s="3">
        <v>36.95</v>
      </c>
      <c r="G1889" t="s">
        <v>57</v>
      </c>
      <c r="H1889" s="1" t="s">
        <v>69</v>
      </c>
      <c r="I1889">
        <f>-22695/10088628/1</f>
        <v>-0.0022495625767943866</v>
      </c>
      <c r="J1889" t="s">
        <v>271</v>
      </c>
      <c r="K1889" t="s">
        <v>272</v>
      </c>
      <c r="L1889" t="s">
        <v>273</v>
      </c>
      <c r="N1889" t="s">
        <v>58</v>
      </c>
    </row>
    <row r="1890" spans="1:12" ht="15">
      <c r="A1890" s="4">
        <v>201406</v>
      </c>
      <c r="B1890" t="s">
        <v>270</v>
      </c>
      <c r="C1890" s="5">
        <v>6550776</v>
      </c>
      <c r="D1890" s="2" t="s">
        <v>1072</v>
      </c>
      <c r="E1890" s="2" t="s">
        <v>15</v>
      </c>
      <c r="F1890" s="3">
        <v>615.81</v>
      </c>
      <c r="G1890" t="s">
        <v>1076</v>
      </c>
      <c r="H1890" s="1" t="s">
        <v>69</v>
      </c>
      <c r="I1890" t="s">
        <v>1094</v>
      </c>
      <c r="J1890" t="s">
        <v>271</v>
      </c>
      <c r="K1890" t="s">
        <v>272</v>
      </c>
      <c r="L1890" t="s">
        <v>273</v>
      </c>
    </row>
    <row r="1891" spans="1:12" ht="15">
      <c r="A1891" s="4">
        <v>201406</v>
      </c>
      <c r="B1891" t="s">
        <v>270</v>
      </c>
      <c r="C1891" s="5">
        <v>6550776</v>
      </c>
      <c r="D1891" s="2" t="s">
        <v>1072</v>
      </c>
      <c r="E1891" s="2" t="s">
        <v>15</v>
      </c>
      <c r="F1891" s="3">
        <v>7316</v>
      </c>
      <c r="G1891" t="s">
        <v>98</v>
      </c>
      <c r="H1891" s="1" t="s">
        <v>69</v>
      </c>
      <c r="I1891" t="e">
        <f>-freight FOR CCI PARTS at Trimble</f>
        <v>#NAME?</v>
      </c>
      <c r="J1891" t="s">
        <v>271</v>
      </c>
      <c r="K1891" t="s">
        <v>272</v>
      </c>
      <c r="L1891" t="s">
        <v>273</v>
      </c>
    </row>
    <row r="1892" spans="1:14" ht="15">
      <c r="A1892" s="4">
        <v>201408</v>
      </c>
      <c r="B1892" t="s">
        <v>270</v>
      </c>
      <c r="C1892" s="5">
        <v>6550776</v>
      </c>
      <c r="D1892" s="2" t="s">
        <v>1072</v>
      </c>
      <c r="E1892" s="2" t="s">
        <v>15</v>
      </c>
      <c r="F1892" s="3">
        <v>28.77</v>
      </c>
      <c r="G1892" t="s">
        <v>57</v>
      </c>
      <c r="H1892" s="1" t="s">
        <v>69</v>
      </c>
      <c r="I1892">
        <f>-22695/10089431/1</f>
        <v>-0.0022493835380805916</v>
      </c>
      <c r="J1892" t="s">
        <v>271</v>
      </c>
      <c r="K1892" t="s">
        <v>272</v>
      </c>
      <c r="L1892" t="s">
        <v>273</v>
      </c>
      <c r="N1892" t="s">
        <v>58</v>
      </c>
    </row>
    <row r="1893" spans="1:12" ht="15">
      <c r="A1893" s="4">
        <v>201408</v>
      </c>
      <c r="B1893" t="s">
        <v>270</v>
      </c>
      <c r="C1893" s="5">
        <v>6550776</v>
      </c>
      <c r="D1893" s="2" t="s">
        <v>1072</v>
      </c>
      <c r="E1893" s="2" t="s">
        <v>15</v>
      </c>
      <c r="F1893" s="3">
        <v>479.5</v>
      </c>
      <c r="G1893" t="s">
        <v>1076</v>
      </c>
      <c r="H1893" s="1" t="s">
        <v>69</v>
      </c>
      <c r="I1893" t="s">
        <v>1094</v>
      </c>
      <c r="J1893" t="s">
        <v>271</v>
      </c>
      <c r="K1893" t="s">
        <v>272</v>
      </c>
      <c r="L1893" t="s">
        <v>273</v>
      </c>
    </row>
    <row r="1894" spans="1:12" ht="15">
      <c r="A1894" s="4">
        <v>201404</v>
      </c>
      <c r="B1894" t="s">
        <v>270</v>
      </c>
      <c r="C1894" s="5">
        <v>6551222</v>
      </c>
      <c r="D1894" s="2" t="s">
        <v>1095</v>
      </c>
      <c r="E1894" s="2" t="s">
        <v>15</v>
      </c>
      <c r="F1894" s="3">
        <v>2.67</v>
      </c>
      <c r="H1894" s="1" t="s">
        <v>66</v>
      </c>
      <c r="I1894" t="s">
        <v>67</v>
      </c>
      <c r="J1894" t="s">
        <v>271</v>
      </c>
      <c r="K1894" t="s">
        <v>272</v>
      </c>
      <c r="L1894" t="s">
        <v>273</v>
      </c>
    </row>
    <row r="1895" spans="1:13" ht="15">
      <c r="A1895" s="4">
        <v>201405</v>
      </c>
      <c r="B1895" t="s">
        <v>270</v>
      </c>
      <c r="C1895" s="5">
        <v>6552384</v>
      </c>
      <c r="D1895" s="2" t="s">
        <v>1096</v>
      </c>
      <c r="E1895" s="2" t="s">
        <v>15</v>
      </c>
      <c r="F1895" s="3">
        <v>11306.25</v>
      </c>
      <c r="G1895" t="s">
        <v>841</v>
      </c>
      <c r="H1895" s="1" t="s">
        <v>44</v>
      </c>
      <c r="I1895" t="e">
        <f>-labor/MATERIAL-Inspect and REPAIR AH inlet A/B side,AH TO DESP DUCT joint,FGD out/WESP inlet joint</f>
        <v>#NAME?</v>
      </c>
      <c r="J1895" t="s">
        <v>271</v>
      </c>
      <c r="K1895" t="s">
        <v>272</v>
      </c>
      <c r="L1895" t="s">
        <v>273</v>
      </c>
      <c r="M1895">
        <v>902111</v>
      </c>
    </row>
    <row r="1896" spans="1:13" ht="15">
      <c r="A1896" s="4">
        <v>201405</v>
      </c>
      <c r="B1896" t="s">
        <v>270</v>
      </c>
      <c r="C1896" s="5">
        <v>6552384</v>
      </c>
      <c r="D1896" s="2" t="s">
        <v>1096</v>
      </c>
      <c r="E1896" s="2" t="s">
        <v>15</v>
      </c>
      <c r="F1896" s="3">
        <v>32767.36</v>
      </c>
      <c r="G1896" t="s">
        <v>49</v>
      </c>
      <c r="H1896" s="1" t="s">
        <v>44</v>
      </c>
      <c r="I1896" t="e">
        <f>-labor/MATERIAL-T+M NTE FOR the REPAIR of the TC2 ductwork as recommended by inspector</f>
        <v>#NAME?</v>
      </c>
      <c r="J1896" t="s">
        <v>271</v>
      </c>
      <c r="K1896" t="s">
        <v>272</v>
      </c>
      <c r="L1896" t="s">
        <v>273</v>
      </c>
      <c r="M1896">
        <v>901741</v>
      </c>
    </row>
    <row r="1897" spans="1:13" ht="15">
      <c r="A1897" s="4">
        <v>201403</v>
      </c>
      <c r="B1897" t="s">
        <v>270</v>
      </c>
      <c r="C1897" s="5">
        <v>6552384</v>
      </c>
      <c r="D1897" s="2" t="s">
        <v>1096</v>
      </c>
      <c r="E1897" s="2" t="s">
        <v>15</v>
      </c>
      <c r="F1897" s="3">
        <v>1558</v>
      </c>
      <c r="G1897" t="s">
        <v>79</v>
      </c>
      <c r="H1897" s="1" t="s">
        <v>78</v>
      </c>
      <c r="I1897" t="s">
        <v>1097</v>
      </c>
      <c r="J1897" t="s">
        <v>271</v>
      </c>
      <c r="K1897" t="s">
        <v>272</v>
      </c>
      <c r="L1897" t="s">
        <v>273</v>
      </c>
      <c r="M1897">
        <v>901960</v>
      </c>
    </row>
    <row r="1898" spans="1:13" ht="15">
      <c r="A1898" s="4">
        <v>201404</v>
      </c>
      <c r="B1898" t="s">
        <v>270</v>
      </c>
      <c r="C1898" s="5">
        <v>6552384</v>
      </c>
      <c r="D1898" s="2" t="s">
        <v>1096</v>
      </c>
      <c r="E1898" s="2" t="s">
        <v>15</v>
      </c>
      <c r="F1898" s="3">
        <v>-15.58</v>
      </c>
      <c r="G1898" t="s">
        <v>79</v>
      </c>
      <c r="H1898" s="1" t="s">
        <v>78</v>
      </c>
      <c r="I1898" t="s">
        <v>1097</v>
      </c>
      <c r="J1898" t="s">
        <v>271</v>
      </c>
      <c r="K1898" t="s">
        <v>272</v>
      </c>
      <c r="L1898" t="s">
        <v>273</v>
      </c>
      <c r="M1898">
        <v>901960</v>
      </c>
    </row>
    <row r="1899" spans="1:13" ht="15">
      <c r="A1899" s="4">
        <v>201404</v>
      </c>
      <c r="B1899" t="s">
        <v>270</v>
      </c>
      <c r="C1899" s="5">
        <v>6552384</v>
      </c>
      <c r="D1899" s="2" t="s">
        <v>1096</v>
      </c>
      <c r="E1899" s="2" t="s">
        <v>15</v>
      </c>
      <c r="F1899" s="3">
        <v>3107.5</v>
      </c>
      <c r="G1899" t="s">
        <v>79</v>
      </c>
      <c r="H1899" s="1" t="s">
        <v>78</v>
      </c>
      <c r="I1899" t="s">
        <v>1098</v>
      </c>
      <c r="J1899" t="s">
        <v>271</v>
      </c>
      <c r="K1899" t="s">
        <v>272</v>
      </c>
      <c r="L1899" t="s">
        <v>273</v>
      </c>
      <c r="M1899">
        <v>903198</v>
      </c>
    </row>
    <row r="1900" spans="1:13" ht="15">
      <c r="A1900" s="4">
        <v>201404</v>
      </c>
      <c r="B1900" t="s">
        <v>270</v>
      </c>
      <c r="C1900" s="5">
        <v>6552384</v>
      </c>
      <c r="D1900" s="2" t="s">
        <v>1096</v>
      </c>
      <c r="E1900" s="2" t="s">
        <v>15</v>
      </c>
      <c r="F1900" s="3">
        <v>3187.8</v>
      </c>
      <c r="G1900" t="s">
        <v>79</v>
      </c>
      <c r="H1900" s="1" t="s">
        <v>78</v>
      </c>
      <c r="I1900" t="s">
        <v>1099</v>
      </c>
      <c r="J1900" t="s">
        <v>271</v>
      </c>
      <c r="K1900" t="s">
        <v>272</v>
      </c>
      <c r="L1900" t="s">
        <v>273</v>
      </c>
      <c r="M1900">
        <v>902802</v>
      </c>
    </row>
    <row r="1901" spans="1:13" ht="15">
      <c r="A1901" s="4">
        <v>201403</v>
      </c>
      <c r="B1901" t="s">
        <v>270</v>
      </c>
      <c r="C1901" s="5">
        <v>6552384</v>
      </c>
      <c r="D1901" s="2" t="s">
        <v>1096</v>
      </c>
      <c r="E1901" s="2" t="s">
        <v>15</v>
      </c>
      <c r="F1901" s="3">
        <v>2075.7</v>
      </c>
      <c r="G1901" t="s">
        <v>79</v>
      </c>
      <c r="H1901" s="1" t="s">
        <v>46</v>
      </c>
      <c r="I1901" t="s">
        <v>1097</v>
      </c>
      <c r="J1901" t="s">
        <v>271</v>
      </c>
      <c r="K1901" t="s">
        <v>272</v>
      </c>
      <c r="L1901" t="s">
        <v>273</v>
      </c>
      <c r="M1901">
        <v>901960</v>
      </c>
    </row>
    <row r="1902" spans="1:13" ht="15">
      <c r="A1902" s="4">
        <v>201404</v>
      </c>
      <c r="B1902" t="s">
        <v>270</v>
      </c>
      <c r="C1902" s="5">
        <v>6552384</v>
      </c>
      <c r="D1902" s="2" t="s">
        <v>1096</v>
      </c>
      <c r="E1902" s="2" t="s">
        <v>15</v>
      </c>
      <c r="F1902" s="3">
        <v>-20.76</v>
      </c>
      <c r="G1902" t="s">
        <v>79</v>
      </c>
      <c r="H1902" s="1" t="s">
        <v>46</v>
      </c>
      <c r="I1902" t="s">
        <v>1097</v>
      </c>
      <c r="J1902" t="s">
        <v>271</v>
      </c>
      <c r="K1902" t="s">
        <v>272</v>
      </c>
      <c r="L1902" t="s">
        <v>273</v>
      </c>
      <c r="M1902">
        <v>901960</v>
      </c>
    </row>
    <row r="1903" spans="1:13" ht="15">
      <c r="A1903" s="4">
        <v>201404</v>
      </c>
      <c r="B1903" t="s">
        <v>270</v>
      </c>
      <c r="C1903" s="5">
        <v>6552384</v>
      </c>
      <c r="D1903" s="2" t="s">
        <v>1096</v>
      </c>
      <c r="E1903" s="2" t="s">
        <v>15</v>
      </c>
      <c r="F1903" s="3">
        <v>3583.73</v>
      </c>
      <c r="G1903" t="s">
        <v>79</v>
      </c>
      <c r="H1903" s="1" t="s">
        <v>46</v>
      </c>
      <c r="I1903" t="s">
        <v>1098</v>
      </c>
      <c r="J1903" t="s">
        <v>271</v>
      </c>
      <c r="K1903" t="s">
        <v>272</v>
      </c>
      <c r="L1903" t="s">
        <v>273</v>
      </c>
      <c r="M1903">
        <v>903198</v>
      </c>
    </row>
    <row r="1904" spans="1:13" ht="15">
      <c r="A1904" s="4">
        <v>201404</v>
      </c>
      <c r="B1904" t="s">
        <v>270</v>
      </c>
      <c r="C1904" s="5">
        <v>6552384</v>
      </c>
      <c r="D1904" s="2" t="s">
        <v>1096</v>
      </c>
      <c r="E1904" s="2" t="s">
        <v>15</v>
      </c>
      <c r="F1904" s="3">
        <v>4340.96</v>
      </c>
      <c r="G1904" t="s">
        <v>79</v>
      </c>
      <c r="H1904" s="1" t="s">
        <v>46</v>
      </c>
      <c r="I1904" t="s">
        <v>1099</v>
      </c>
      <c r="J1904" t="s">
        <v>271</v>
      </c>
      <c r="K1904" t="s">
        <v>272</v>
      </c>
      <c r="L1904" t="s">
        <v>273</v>
      </c>
      <c r="M1904">
        <v>902802</v>
      </c>
    </row>
    <row r="1905" spans="1:13" ht="15">
      <c r="A1905" s="4">
        <v>201405</v>
      </c>
      <c r="B1905" t="s">
        <v>270</v>
      </c>
      <c r="C1905" s="5">
        <v>6552384</v>
      </c>
      <c r="D1905" s="2" t="s">
        <v>1096</v>
      </c>
      <c r="E1905" s="2" t="s">
        <v>15</v>
      </c>
      <c r="F1905" s="3">
        <v>6652.26</v>
      </c>
      <c r="G1905" t="s">
        <v>73</v>
      </c>
      <c r="H1905" s="1" t="s">
        <v>46</v>
      </c>
      <c r="I1905" t="s">
        <v>74</v>
      </c>
      <c r="J1905" t="s">
        <v>271</v>
      </c>
      <c r="K1905" t="s">
        <v>272</v>
      </c>
      <c r="L1905" t="s">
        <v>273</v>
      </c>
      <c r="M1905">
        <v>905953</v>
      </c>
    </row>
    <row r="1906" spans="1:13" ht="15">
      <c r="A1906" s="4">
        <v>201407</v>
      </c>
      <c r="B1906" t="s">
        <v>270</v>
      </c>
      <c r="C1906" s="5">
        <v>6552384</v>
      </c>
      <c r="D1906" s="2" t="s">
        <v>1096</v>
      </c>
      <c r="E1906" s="2" t="s">
        <v>15</v>
      </c>
      <c r="F1906" s="3">
        <v>797.46</v>
      </c>
      <c r="G1906" t="s">
        <v>73</v>
      </c>
      <c r="H1906" s="1" t="s">
        <v>46</v>
      </c>
      <c r="I1906" t="s">
        <v>75</v>
      </c>
      <c r="J1906" t="s">
        <v>271</v>
      </c>
      <c r="K1906" t="s">
        <v>272</v>
      </c>
      <c r="L1906" t="s">
        <v>273</v>
      </c>
      <c r="M1906">
        <v>908282</v>
      </c>
    </row>
    <row r="1907" spans="1:14" ht="15">
      <c r="A1907" s="4">
        <v>201404</v>
      </c>
      <c r="B1907" t="s">
        <v>270</v>
      </c>
      <c r="C1907" s="5">
        <v>6552384</v>
      </c>
      <c r="D1907" s="2" t="s">
        <v>1096</v>
      </c>
      <c r="E1907" s="2" t="s">
        <v>15</v>
      </c>
      <c r="F1907" s="3">
        <v>19.2</v>
      </c>
      <c r="G1907" t="s">
        <v>57</v>
      </c>
      <c r="H1907" s="1" t="s">
        <v>60</v>
      </c>
      <c r="I1907">
        <f>-23426/3497631001/1</f>
        <v>-6.697676225222822E-06</v>
      </c>
      <c r="J1907" t="s">
        <v>271</v>
      </c>
      <c r="K1907" t="s">
        <v>272</v>
      </c>
      <c r="L1907" t="s">
        <v>273</v>
      </c>
      <c r="N1907" t="s">
        <v>58</v>
      </c>
    </row>
    <row r="1908" spans="1:13" ht="15">
      <c r="A1908" s="4">
        <v>201404</v>
      </c>
      <c r="B1908" t="s">
        <v>270</v>
      </c>
      <c r="C1908" s="5">
        <v>6552384</v>
      </c>
      <c r="D1908" s="2" t="s">
        <v>1096</v>
      </c>
      <c r="E1908" s="2" t="s">
        <v>15</v>
      </c>
      <c r="F1908" s="3">
        <v>320</v>
      </c>
      <c r="G1908" t="s">
        <v>76</v>
      </c>
      <c r="H1908" s="1" t="s">
        <v>60</v>
      </c>
      <c r="I1908" t="s">
        <v>1100</v>
      </c>
      <c r="J1908" t="s">
        <v>271</v>
      </c>
      <c r="K1908" t="s">
        <v>272</v>
      </c>
      <c r="L1908" t="s">
        <v>273</v>
      </c>
      <c r="M1908">
        <v>903579</v>
      </c>
    </row>
    <row r="1909" spans="1:14" ht="15">
      <c r="A1909" s="4">
        <v>201404</v>
      </c>
      <c r="B1909" t="s">
        <v>270</v>
      </c>
      <c r="C1909" s="5">
        <v>6552384</v>
      </c>
      <c r="D1909" s="2" t="s">
        <v>1096</v>
      </c>
      <c r="E1909" s="2" t="s">
        <v>15</v>
      </c>
      <c r="F1909" s="3">
        <v>612</v>
      </c>
      <c r="G1909" t="s">
        <v>57</v>
      </c>
      <c r="H1909" s="1" t="s">
        <v>60</v>
      </c>
      <c r="I1909">
        <f>-13169/11449/1</f>
        <v>-1.1502314612629925</v>
      </c>
      <c r="J1909" t="s">
        <v>271</v>
      </c>
      <c r="K1909" t="s">
        <v>272</v>
      </c>
      <c r="L1909" t="s">
        <v>273</v>
      </c>
      <c r="N1909" t="s">
        <v>58</v>
      </c>
    </row>
    <row r="1910" spans="1:13" ht="15">
      <c r="A1910" s="4">
        <v>201404</v>
      </c>
      <c r="B1910" t="s">
        <v>270</v>
      </c>
      <c r="C1910" s="5">
        <v>6552384</v>
      </c>
      <c r="D1910" s="2" t="s">
        <v>1096</v>
      </c>
      <c r="E1910" s="2" t="s">
        <v>15</v>
      </c>
      <c r="F1910" s="3">
        <v>1700</v>
      </c>
      <c r="G1910" t="s">
        <v>841</v>
      </c>
      <c r="H1910" s="1" t="s">
        <v>60</v>
      </c>
      <c r="I1910" t="s">
        <v>1101</v>
      </c>
      <c r="J1910" t="s">
        <v>271</v>
      </c>
      <c r="K1910" t="s">
        <v>272</v>
      </c>
      <c r="L1910" t="s">
        <v>273</v>
      </c>
      <c r="M1910">
        <v>902338</v>
      </c>
    </row>
    <row r="1911" spans="1:13" ht="15">
      <c r="A1911" s="4">
        <v>201404</v>
      </c>
      <c r="B1911" t="s">
        <v>270</v>
      </c>
      <c r="C1911" s="5">
        <v>6552384</v>
      </c>
      <c r="D1911" s="2" t="s">
        <v>1096</v>
      </c>
      <c r="E1911" s="2" t="s">
        <v>15</v>
      </c>
      <c r="F1911" s="3">
        <v>2100</v>
      </c>
      <c r="G1911" t="s">
        <v>841</v>
      </c>
      <c r="H1911" s="1" t="s">
        <v>60</v>
      </c>
      <c r="I1911" t="s">
        <v>1102</v>
      </c>
      <c r="J1911" t="s">
        <v>271</v>
      </c>
      <c r="K1911" t="s">
        <v>272</v>
      </c>
      <c r="L1911" t="s">
        <v>273</v>
      </c>
      <c r="M1911">
        <v>902338</v>
      </c>
    </row>
    <row r="1912" spans="1:13" ht="15">
      <c r="A1912" s="4">
        <v>201404</v>
      </c>
      <c r="B1912" t="s">
        <v>270</v>
      </c>
      <c r="C1912" s="5">
        <v>6552384</v>
      </c>
      <c r="D1912" s="2" t="s">
        <v>1096</v>
      </c>
      <c r="E1912" s="2" t="s">
        <v>15</v>
      </c>
      <c r="F1912" s="3">
        <v>6400</v>
      </c>
      <c r="G1912" t="s">
        <v>841</v>
      </c>
      <c r="H1912" s="1" t="s">
        <v>60</v>
      </c>
      <c r="I1912" t="s">
        <v>1103</v>
      </c>
      <c r="J1912" t="s">
        <v>271</v>
      </c>
      <c r="K1912" t="s">
        <v>272</v>
      </c>
      <c r="L1912" t="s">
        <v>273</v>
      </c>
      <c r="M1912">
        <v>902338</v>
      </c>
    </row>
    <row r="1913" spans="1:14" ht="15">
      <c r="A1913" s="4">
        <v>201404</v>
      </c>
      <c r="B1913" t="s">
        <v>270</v>
      </c>
      <c r="C1913" s="5">
        <v>6552384</v>
      </c>
      <c r="D1913" s="2" t="s">
        <v>1096</v>
      </c>
      <c r="E1913" s="2" t="s">
        <v>15</v>
      </c>
      <c r="F1913" s="3">
        <v>19.69</v>
      </c>
      <c r="G1913" t="s">
        <v>57</v>
      </c>
      <c r="H1913" s="1" t="s">
        <v>69</v>
      </c>
      <c r="I1913">
        <f>-13169/11456/1</f>
        <v>-1.1495286312849162</v>
      </c>
      <c r="J1913" t="s">
        <v>271</v>
      </c>
      <c r="K1913" t="s">
        <v>272</v>
      </c>
      <c r="L1913" t="s">
        <v>273</v>
      </c>
      <c r="N1913" t="s">
        <v>58</v>
      </c>
    </row>
    <row r="1914" spans="1:12" ht="15">
      <c r="A1914" s="4">
        <v>201404</v>
      </c>
      <c r="B1914" t="s">
        <v>270</v>
      </c>
      <c r="C1914" s="5">
        <v>6552384</v>
      </c>
      <c r="D1914" s="2" t="s">
        <v>1096</v>
      </c>
      <c r="E1914" s="2" t="s">
        <v>15</v>
      </c>
      <c r="F1914" s="3">
        <v>328.15</v>
      </c>
      <c r="G1914" t="s">
        <v>841</v>
      </c>
      <c r="H1914" s="1" t="s">
        <v>69</v>
      </c>
      <c r="I1914" t="s">
        <v>1104</v>
      </c>
      <c r="J1914" t="s">
        <v>271</v>
      </c>
      <c r="K1914" t="s">
        <v>272</v>
      </c>
      <c r="L1914" t="s">
        <v>273</v>
      </c>
    </row>
    <row r="1915" spans="1:12" ht="15">
      <c r="A1915" s="4">
        <v>201404</v>
      </c>
      <c r="B1915" t="s">
        <v>270</v>
      </c>
      <c r="C1915" s="5">
        <v>6554451</v>
      </c>
      <c r="D1915" s="2" t="s">
        <v>1106</v>
      </c>
      <c r="E1915" s="2" t="s">
        <v>15</v>
      </c>
      <c r="F1915" s="3">
        <v>1.53</v>
      </c>
      <c r="H1915" s="1" t="s">
        <v>14</v>
      </c>
      <c r="I1915" t="s">
        <v>1105</v>
      </c>
      <c r="J1915" t="s">
        <v>271</v>
      </c>
      <c r="K1915" t="s">
        <v>272</v>
      </c>
      <c r="L1915" t="s">
        <v>273</v>
      </c>
    </row>
    <row r="1916" spans="1:12" ht="15">
      <c r="A1916" s="4">
        <v>201404</v>
      </c>
      <c r="B1916" t="s">
        <v>270</v>
      </c>
      <c r="C1916" s="5">
        <v>6554451</v>
      </c>
      <c r="D1916" s="2" t="s">
        <v>1106</v>
      </c>
      <c r="E1916" s="2" t="s">
        <v>15</v>
      </c>
      <c r="F1916" s="3">
        <v>5.78</v>
      </c>
      <c r="H1916" s="1" t="s">
        <v>14</v>
      </c>
      <c r="I1916" t="s">
        <v>338</v>
      </c>
      <c r="J1916" t="s">
        <v>271</v>
      </c>
      <c r="K1916" t="s">
        <v>272</v>
      </c>
      <c r="L1916" t="s">
        <v>273</v>
      </c>
    </row>
    <row r="1917" spans="1:12" ht="15">
      <c r="A1917" s="4">
        <v>201404</v>
      </c>
      <c r="B1917" t="s">
        <v>270</v>
      </c>
      <c r="C1917" s="5">
        <v>6554451</v>
      </c>
      <c r="D1917" s="2" t="s">
        <v>1106</v>
      </c>
      <c r="E1917" s="2" t="s">
        <v>15</v>
      </c>
      <c r="F1917" s="3">
        <v>9.05</v>
      </c>
      <c r="H1917" s="1" t="s">
        <v>14</v>
      </c>
      <c r="I1917" t="s">
        <v>339</v>
      </c>
      <c r="J1917" t="s">
        <v>271</v>
      </c>
      <c r="K1917" t="s">
        <v>272</v>
      </c>
      <c r="L1917" t="s">
        <v>273</v>
      </c>
    </row>
    <row r="1918" spans="1:12" ht="15">
      <c r="A1918" s="4">
        <v>201404</v>
      </c>
      <c r="B1918" t="s">
        <v>270</v>
      </c>
      <c r="C1918" s="5">
        <v>6554451</v>
      </c>
      <c r="D1918" s="2" t="s">
        <v>1106</v>
      </c>
      <c r="E1918" s="2" t="s">
        <v>15</v>
      </c>
      <c r="F1918" s="3">
        <v>29</v>
      </c>
      <c r="H1918" s="1" t="s">
        <v>14</v>
      </c>
      <c r="I1918" t="s">
        <v>335</v>
      </c>
      <c r="J1918" t="s">
        <v>271</v>
      </c>
      <c r="K1918" t="s">
        <v>272</v>
      </c>
      <c r="L1918" t="s">
        <v>273</v>
      </c>
    </row>
    <row r="1919" spans="1:12" ht="15">
      <c r="A1919" s="4">
        <v>201404</v>
      </c>
      <c r="B1919" t="s">
        <v>270</v>
      </c>
      <c r="C1919" s="5">
        <v>6554451</v>
      </c>
      <c r="D1919" s="2" t="s">
        <v>1106</v>
      </c>
      <c r="E1919" s="2" t="s">
        <v>15</v>
      </c>
      <c r="F1919" s="3">
        <v>940</v>
      </c>
      <c r="H1919" s="1" t="s">
        <v>14</v>
      </c>
      <c r="I1919" t="s">
        <v>504</v>
      </c>
      <c r="J1919" t="s">
        <v>271</v>
      </c>
      <c r="K1919" t="s">
        <v>272</v>
      </c>
      <c r="L1919" t="s">
        <v>273</v>
      </c>
    </row>
    <row r="1920" spans="1:12" ht="15">
      <c r="A1920" s="4">
        <v>201404</v>
      </c>
      <c r="B1920" t="s">
        <v>270</v>
      </c>
      <c r="C1920" s="5">
        <v>6554451</v>
      </c>
      <c r="D1920" s="2" t="s">
        <v>1106</v>
      </c>
      <c r="E1920" s="2" t="s">
        <v>15</v>
      </c>
      <c r="F1920" s="3">
        <v>0</v>
      </c>
      <c r="H1920" s="1" t="s">
        <v>68</v>
      </c>
      <c r="J1920" t="s">
        <v>271</v>
      </c>
      <c r="K1920" t="s">
        <v>272</v>
      </c>
      <c r="L1920" t="s">
        <v>273</v>
      </c>
    </row>
    <row r="1921" spans="1:12" ht="15">
      <c r="A1921" s="4">
        <v>201404</v>
      </c>
      <c r="B1921" t="s">
        <v>270</v>
      </c>
      <c r="C1921" s="5">
        <v>6554451</v>
      </c>
      <c r="D1921" s="2" t="s">
        <v>1106</v>
      </c>
      <c r="E1921" s="2" t="s">
        <v>15</v>
      </c>
      <c r="F1921" s="3">
        <v>0</v>
      </c>
      <c r="H1921" s="1" t="s">
        <v>68</v>
      </c>
      <c r="J1921" t="s">
        <v>271</v>
      </c>
      <c r="K1921" t="s">
        <v>272</v>
      </c>
      <c r="L1921" t="s">
        <v>273</v>
      </c>
    </row>
    <row r="1922" spans="1:12" ht="15">
      <c r="A1922" s="4">
        <v>201404</v>
      </c>
      <c r="B1922" t="s">
        <v>270</v>
      </c>
      <c r="C1922" s="5">
        <v>6554451</v>
      </c>
      <c r="D1922" s="2" t="s">
        <v>1106</v>
      </c>
      <c r="E1922" s="2" t="s">
        <v>15</v>
      </c>
      <c r="F1922" s="3">
        <v>30</v>
      </c>
      <c r="H1922" s="1" t="s">
        <v>68</v>
      </c>
      <c r="J1922" t="s">
        <v>271</v>
      </c>
      <c r="K1922" t="s">
        <v>272</v>
      </c>
      <c r="L1922" t="s">
        <v>273</v>
      </c>
    </row>
    <row r="1923" spans="1:12" ht="15">
      <c r="A1923" s="4">
        <v>201404</v>
      </c>
      <c r="B1923" t="s">
        <v>270</v>
      </c>
      <c r="C1923" s="5">
        <v>6555039</v>
      </c>
      <c r="D1923" s="2" t="s">
        <v>1107</v>
      </c>
      <c r="E1923" s="2" t="s">
        <v>15</v>
      </c>
      <c r="F1923" s="3">
        <v>35.32</v>
      </c>
      <c r="H1923" s="1" t="s">
        <v>14</v>
      </c>
      <c r="I1923" t="s">
        <v>1068</v>
      </c>
      <c r="J1923" t="s">
        <v>271</v>
      </c>
      <c r="K1923" t="s">
        <v>272</v>
      </c>
      <c r="L1923" t="s">
        <v>273</v>
      </c>
    </row>
    <row r="1924" spans="1:12" ht="15">
      <c r="A1924" s="4">
        <v>201404</v>
      </c>
      <c r="B1924" t="s">
        <v>270</v>
      </c>
      <c r="C1924" s="5">
        <v>6555039</v>
      </c>
      <c r="D1924" s="2" t="s">
        <v>1107</v>
      </c>
      <c r="E1924" s="2" t="s">
        <v>15</v>
      </c>
      <c r="F1924" s="3">
        <v>50.82</v>
      </c>
      <c r="H1924" s="1" t="s">
        <v>14</v>
      </c>
      <c r="I1924" t="s">
        <v>457</v>
      </c>
      <c r="J1924" t="s">
        <v>271</v>
      </c>
      <c r="K1924" t="s">
        <v>272</v>
      </c>
      <c r="L1924" t="s">
        <v>273</v>
      </c>
    </row>
    <row r="1925" spans="1:12" ht="15">
      <c r="A1925" s="4">
        <v>201405</v>
      </c>
      <c r="B1925" t="s">
        <v>270</v>
      </c>
      <c r="C1925" s="5">
        <v>6557819</v>
      </c>
      <c r="D1925" s="2" t="s">
        <v>1109</v>
      </c>
      <c r="E1925" s="2" t="s">
        <v>15</v>
      </c>
      <c r="F1925" s="3">
        <v>24.43</v>
      </c>
      <c r="H1925" s="1" t="s">
        <v>14</v>
      </c>
      <c r="I1925" t="s">
        <v>1108</v>
      </c>
      <c r="J1925" t="s">
        <v>271</v>
      </c>
      <c r="K1925" t="s">
        <v>272</v>
      </c>
      <c r="L1925" t="s">
        <v>273</v>
      </c>
    </row>
    <row r="1926" spans="1:12" ht="15">
      <c r="A1926" s="4">
        <v>201405</v>
      </c>
      <c r="B1926" t="s">
        <v>270</v>
      </c>
      <c r="C1926" s="5">
        <v>6557819</v>
      </c>
      <c r="D1926" s="2" t="s">
        <v>1109</v>
      </c>
      <c r="E1926" s="2" t="s">
        <v>15</v>
      </c>
      <c r="F1926" s="3">
        <v>33.11</v>
      </c>
      <c r="H1926" s="1" t="s">
        <v>14</v>
      </c>
      <c r="I1926" t="s">
        <v>387</v>
      </c>
      <c r="J1926" t="s">
        <v>271</v>
      </c>
      <c r="K1926" t="s">
        <v>272</v>
      </c>
      <c r="L1926" t="s">
        <v>273</v>
      </c>
    </row>
    <row r="1927" spans="1:14" ht="15">
      <c r="A1927" s="4">
        <v>201405</v>
      </c>
      <c r="B1927" t="s">
        <v>270</v>
      </c>
      <c r="C1927" s="5">
        <v>6558343</v>
      </c>
      <c r="D1927" s="2" t="s">
        <v>1110</v>
      </c>
      <c r="E1927" s="2" t="s">
        <v>15</v>
      </c>
      <c r="F1927" s="3">
        <v>45.27</v>
      </c>
      <c r="G1927" t="s">
        <v>57</v>
      </c>
      <c r="H1927" s="1" t="s">
        <v>60</v>
      </c>
      <c r="I1927" t="e">
        <f>-16294/KY67759305/1</f>
        <v>#NAME?</v>
      </c>
      <c r="J1927" t="s">
        <v>271</v>
      </c>
      <c r="K1927" t="s">
        <v>272</v>
      </c>
      <c r="L1927" t="s">
        <v>273</v>
      </c>
      <c r="N1927" t="s">
        <v>58</v>
      </c>
    </row>
    <row r="1928" spans="1:13" ht="15">
      <c r="A1928" s="4">
        <v>201405</v>
      </c>
      <c r="B1928" t="s">
        <v>270</v>
      </c>
      <c r="C1928" s="5">
        <v>6558343</v>
      </c>
      <c r="D1928" s="2" t="s">
        <v>1110</v>
      </c>
      <c r="E1928" s="2" t="s">
        <v>15</v>
      </c>
      <c r="F1928" s="3">
        <v>754.48</v>
      </c>
      <c r="G1928" t="s">
        <v>96</v>
      </c>
      <c r="H1928" s="1" t="s">
        <v>60</v>
      </c>
      <c r="I1928" t="s">
        <v>1111</v>
      </c>
      <c r="J1928" t="s">
        <v>271</v>
      </c>
      <c r="K1928" t="s">
        <v>272</v>
      </c>
      <c r="L1928" t="s">
        <v>273</v>
      </c>
      <c r="M1928">
        <v>903843</v>
      </c>
    </row>
    <row r="1929" spans="1:13" ht="15">
      <c r="A1929" s="4">
        <v>201406</v>
      </c>
      <c r="B1929" t="s">
        <v>270</v>
      </c>
      <c r="C1929" s="5">
        <v>6558343</v>
      </c>
      <c r="D1929" s="2" t="s">
        <v>1110</v>
      </c>
      <c r="E1929" s="2" t="s">
        <v>15</v>
      </c>
      <c r="F1929" s="3">
        <v>-7.54</v>
      </c>
      <c r="G1929" t="s">
        <v>96</v>
      </c>
      <c r="H1929" s="1" t="s">
        <v>60</v>
      </c>
      <c r="I1929" t="s">
        <v>1111</v>
      </c>
      <c r="J1929" t="s">
        <v>271</v>
      </c>
      <c r="K1929" t="s">
        <v>272</v>
      </c>
      <c r="L1929" t="s">
        <v>273</v>
      </c>
      <c r="M1929">
        <v>903843</v>
      </c>
    </row>
    <row r="1930" spans="1:14" ht="15">
      <c r="A1930" s="4">
        <v>201405</v>
      </c>
      <c r="B1930" t="s">
        <v>270</v>
      </c>
      <c r="C1930" s="5">
        <v>6558343</v>
      </c>
      <c r="D1930" s="2" t="s">
        <v>1110</v>
      </c>
      <c r="E1930" s="2" t="s">
        <v>15</v>
      </c>
      <c r="F1930" s="3">
        <v>0.7</v>
      </c>
      <c r="G1930" t="s">
        <v>57</v>
      </c>
      <c r="H1930" s="1" t="s">
        <v>69</v>
      </c>
      <c r="I1930" t="e">
        <f>-16294/KY67759305/1</f>
        <v>#NAME?</v>
      </c>
      <c r="J1930" t="s">
        <v>271</v>
      </c>
      <c r="K1930" t="s">
        <v>272</v>
      </c>
      <c r="L1930" t="s">
        <v>273</v>
      </c>
      <c r="N1930" t="s">
        <v>58</v>
      </c>
    </row>
    <row r="1931" spans="1:12" ht="15">
      <c r="A1931" s="4">
        <v>201405</v>
      </c>
      <c r="B1931" t="s">
        <v>270</v>
      </c>
      <c r="C1931" s="5">
        <v>6558343</v>
      </c>
      <c r="D1931" s="2" t="s">
        <v>1110</v>
      </c>
      <c r="E1931" s="2" t="s">
        <v>15</v>
      </c>
      <c r="F1931" s="3">
        <v>11.72</v>
      </c>
      <c r="G1931" t="s">
        <v>96</v>
      </c>
      <c r="H1931" s="1" t="s">
        <v>69</v>
      </c>
      <c r="I1931" t="e">
        <f>-freight</f>
        <v>#NAME?</v>
      </c>
      <c r="J1931" t="s">
        <v>271</v>
      </c>
      <c r="K1931" t="s">
        <v>272</v>
      </c>
      <c r="L1931" t="s">
        <v>273</v>
      </c>
    </row>
    <row r="1932" spans="1:12" ht="15">
      <c r="A1932" s="4">
        <v>201406</v>
      </c>
      <c r="B1932" t="s">
        <v>270</v>
      </c>
      <c r="C1932" s="5">
        <v>6561535</v>
      </c>
      <c r="D1932" s="2" t="s">
        <v>1113</v>
      </c>
      <c r="E1932" s="2" t="s">
        <v>15</v>
      </c>
      <c r="F1932" s="3">
        <v>17895</v>
      </c>
      <c r="H1932" s="1" t="s">
        <v>44</v>
      </c>
      <c r="I1932" t="s">
        <v>1112</v>
      </c>
      <c r="J1932" t="s">
        <v>271</v>
      </c>
      <c r="K1932" t="s">
        <v>272</v>
      </c>
      <c r="L1932" t="s">
        <v>273</v>
      </c>
    </row>
    <row r="1933" spans="1:12" ht="15">
      <c r="A1933" s="4">
        <v>201407</v>
      </c>
      <c r="B1933" t="s">
        <v>270</v>
      </c>
      <c r="C1933" s="5">
        <v>6561535</v>
      </c>
      <c r="D1933" s="2" t="s">
        <v>1113</v>
      </c>
      <c r="E1933" s="2" t="s">
        <v>15</v>
      </c>
      <c r="F1933" s="3">
        <v>-17895</v>
      </c>
      <c r="H1933" s="1" t="s">
        <v>44</v>
      </c>
      <c r="I1933" t="s">
        <v>1112</v>
      </c>
      <c r="J1933" t="s">
        <v>271</v>
      </c>
      <c r="K1933" t="s">
        <v>272</v>
      </c>
      <c r="L1933" t="s">
        <v>273</v>
      </c>
    </row>
    <row r="1934" spans="1:13" ht="15">
      <c r="A1934" s="4">
        <v>201407</v>
      </c>
      <c r="B1934" t="s">
        <v>270</v>
      </c>
      <c r="C1934" s="5">
        <v>6561535</v>
      </c>
      <c r="D1934" s="2" t="s">
        <v>1113</v>
      </c>
      <c r="E1934" s="2" t="s">
        <v>15</v>
      </c>
      <c r="F1934" s="3">
        <v>3579</v>
      </c>
      <c r="G1934" t="s">
        <v>1114</v>
      </c>
      <c r="H1934" s="1" t="s">
        <v>44</v>
      </c>
      <c r="I1934" t="s">
        <v>1115</v>
      </c>
      <c r="J1934" t="s">
        <v>271</v>
      </c>
      <c r="K1934" t="s">
        <v>272</v>
      </c>
      <c r="L1934" t="s">
        <v>273</v>
      </c>
      <c r="M1934">
        <v>906174</v>
      </c>
    </row>
    <row r="1935" spans="1:13" ht="15">
      <c r="A1935" s="4">
        <v>201407</v>
      </c>
      <c r="B1935" t="s">
        <v>270</v>
      </c>
      <c r="C1935" s="5">
        <v>6561535</v>
      </c>
      <c r="D1935" s="2" t="s">
        <v>1113</v>
      </c>
      <c r="E1935" s="2" t="s">
        <v>15</v>
      </c>
      <c r="F1935" s="3">
        <v>3579</v>
      </c>
      <c r="G1935" t="s">
        <v>1114</v>
      </c>
      <c r="H1935" s="1" t="s">
        <v>44</v>
      </c>
      <c r="I1935" t="s">
        <v>1116</v>
      </c>
      <c r="J1935" t="s">
        <v>271</v>
      </c>
      <c r="K1935" t="s">
        <v>272</v>
      </c>
      <c r="L1935" t="s">
        <v>273</v>
      </c>
      <c r="M1935">
        <v>906174</v>
      </c>
    </row>
    <row r="1936" spans="1:13" ht="15">
      <c r="A1936" s="4">
        <v>201407</v>
      </c>
      <c r="B1936" t="s">
        <v>270</v>
      </c>
      <c r="C1936" s="5">
        <v>6561535</v>
      </c>
      <c r="D1936" s="2" t="s">
        <v>1113</v>
      </c>
      <c r="E1936" s="2" t="s">
        <v>15</v>
      </c>
      <c r="F1936" s="3">
        <v>3579</v>
      </c>
      <c r="G1936" t="s">
        <v>1114</v>
      </c>
      <c r="H1936" s="1" t="s">
        <v>44</v>
      </c>
      <c r="I1936" t="s">
        <v>1117</v>
      </c>
      <c r="J1936" t="s">
        <v>271</v>
      </c>
      <c r="K1936" t="s">
        <v>272</v>
      </c>
      <c r="L1936" t="s">
        <v>273</v>
      </c>
      <c r="M1936">
        <v>906174</v>
      </c>
    </row>
    <row r="1937" spans="1:13" ht="15">
      <c r="A1937" s="4">
        <v>201407</v>
      </c>
      <c r="B1937" t="s">
        <v>270</v>
      </c>
      <c r="C1937" s="5">
        <v>6561535</v>
      </c>
      <c r="D1937" s="2" t="s">
        <v>1113</v>
      </c>
      <c r="E1937" s="2" t="s">
        <v>15</v>
      </c>
      <c r="F1937" s="3">
        <v>3579</v>
      </c>
      <c r="G1937" t="s">
        <v>1114</v>
      </c>
      <c r="H1937" s="1" t="s">
        <v>44</v>
      </c>
      <c r="I1937" t="s">
        <v>1118</v>
      </c>
      <c r="J1937" t="s">
        <v>271</v>
      </c>
      <c r="K1937" t="s">
        <v>272</v>
      </c>
      <c r="L1937" t="s">
        <v>273</v>
      </c>
      <c r="M1937">
        <v>906174</v>
      </c>
    </row>
    <row r="1938" spans="1:13" ht="15">
      <c r="A1938" s="4">
        <v>201407</v>
      </c>
      <c r="B1938" t="s">
        <v>270</v>
      </c>
      <c r="C1938" s="5">
        <v>6561535</v>
      </c>
      <c r="D1938" s="2" t="s">
        <v>1113</v>
      </c>
      <c r="E1938" s="2" t="s">
        <v>15</v>
      </c>
      <c r="F1938" s="3">
        <v>3579</v>
      </c>
      <c r="G1938" t="s">
        <v>1114</v>
      </c>
      <c r="H1938" s="1" t="s">
        <v>44</v>
      </c>
      <c r="I1938" t="s">
        <v>1119</v>
      </c>
      <c r="J1938" t="s">
        <v>271</v>
      </c>
      <c r="K1938" t="s">
        <v>272</v>
      </c>
      <c r="L1938" t="s">
        <v>273</v>
      </c>
      <c r="M1938">
        <v>906174</v>
      </c>
    </row>
    <row r="1939" spans="1:12" ht="15">
      <c r="A1939" s="4">
        <v>201406</v>
      </c>
      <c r="B1939" t="s">
        <v>270</v>
      </c>
      <c r="C1939" s="5">
        <v>6561535</v>
      </c>
      <c r="D1939" s="2" t="s">
        <v>1113</v>
      </c>
      <c r="E1939" s="2" t="s">
        <v>15</v>
      </c>
      <c r="F1939" s="3">
        <v>10627</v>
      </c>
      <c r="H1939" s="1" t="s">
        <v>60</v>
      </c>
      <c r="I1939" t="s">
        <v>1112</v>
      </c>
      <c r="J1939" t="s">
        <v>271</v>
      </c>
      <c r="K1939" t="s">
        <v>272</v>
      </c>
      <c r="L1939" t="s">
        <v>273</v>
      </c>
    </row>
    <row r="1940" spans="1:12" ht="15">
      <c r="A1940" s="4">
        <v>201407</v>
      </c>
      <c r="B1940" t="s">
        <v>270</v>
      </c>
      <c r="C1940" s="5">
        <v>6561535</v>
      </c>
      <c r="D1940" s="2" t="s">
        <v>1113</v>
      </c>
      <c r="E1940" s="2" t="s">
        <v>15</v>
      </c>
      <c r="F1940" s="3">
        <v>-10627</v>
      </c>
      <c r="H1940" s="1" t="s">
        <v>60</v>
      </c>
      <c r="I1940" t="s">
        <v>1112</v>
      </c>
      <c r="J1940" t="s">
        <v>271</v>
      </c>
      <c r="K1940" t="s">
        <v>272</v>
      </c>
      <c r="L1940" t="s">
        <v>273</v>
      </c>
    </row>
    <row r="1941" spans="1:14" ht="15">
      <c r="A1941" s="4">
        <v>201407</v>
      </c>
      <c r="B1941" t="s">
        <v>270</v>
      </c>
      <c r="C1941" s="5">
        <v>6561535</v>
      </c>
      <c r="D1941" s="2" t="s">
        <v>1113</v>
      </c>
      <c r="E1941" s="2" t="s">
        <v>15</v>
      </c>
      <c r="F1941" s="3">
        <v>79.74</v>
      </c>
      <c r="G1941" t="s">
        <v>57</v>
      </c>
      <c r="H1941" s="1" t="s">
        <v>60</v>
      </c>
      <c r="I1941">
        <f>-19389/1406051/2</f>
        <v>-0.006894842363470458</v>
      </c>
      <c r="J1941" t="s">
        <v>271</v>
      </c>
      <c r="K1941" t="s">
        <v>272</v>
      </c>
      <c r="L1941" t="s">
        <v>273</v>
      </c>
      <c r="N1941" t="s">
        <v>58</v>
      </c>
    </row>
    <row r="1942" spans="1:14" ht="15">
      <c r="A1942" s="4">
        <v>201407</v>
      </c>
      <c r="B1942" t="s">
        <v>270</v>
      </c>
      <c r="C1942" s="5">
        <v>6561535</v>
      </c>
      <c r="D1942" s="2" t="s">
        <v>1113</v>
      </c>
      <c r="E1942" s="2" t="s">
        <v>15</v>
      </c>
      <c r="F1942" s="3">
        <v>557.88</v>
      </c>
      <c r="G1942" t="s">
        <v>57</v>
      </c>
      <c r="H1942" s="1" t="s">
        <v>60</v>
      </c>
      <c r="I1942">
        <f>-19389/1406051/1</f>
        <v>-0.013789684726940915</v>
      </c>
      <c r="J1942" t="s">
        <v>271</v>
      </c>
      <c r="K1942" t="s">
        <v>272</v>
      </c>
      <c r="L1942" t="s">
        <v>273</v>
      </c>
      <c r="N1942" t="s">
        <v>58</v>
      </c>
    </row>
    <row r="1943" spans="1:13" ht="15">
      <c r="A1943" s="4">
        <v>201407</v>
      </c>
      <c r="B1943" t="s">
        <v>270</v>
      </c>
      <c r="C1943" s="5">
        <v>6561535</v>
      </c>
      <c r="D1943" s="2" t="s">
        <v>1113</v>
      </c>
      <c r="E1943" s="2" t="s">
        <v>15</v>
      </c>
      <c r="F1943" s="3">
        <v>1329</v>
      </c>
      <c r="G1943" t="s">
        <v>1114</v>
      </c>
      <c r="H1943" s="1" t="s">
        <v>60</v>
      </c>
      <c r="I1943" t="s">
        <v>1120</v>
      </c>
      <c r="J1943" t="s">
        <v>271</v>
      </c>
      <c r="K1943" t="s">
        <v>272</v>
      </c>
      <c r="L1943" t="s">
        <v>273</v>
      </c>
      <c r="M1943">
        <v>906174</v>
      </c>
    </row>
    <row r="1944" spans="1:13" ht="15">
      <c r="A1944" s="4">
        <v>201407</v>
      </c>
      <c r="B1944" t="s">
        <v>270</v>
      </c>
      <c r="C1944" s="5">
        <v>6561535</v>
      </c>
      <c r="D1944" s="2" t="s">
        <v>1113</v>
      </c>
      <c r="E1944" s="2" t="s">
        <v>15</v>
      </c>
      <c r="F1944" s="3">
        <v>1329</v>
      </c>
      <c r="G1944" t="s">
        <v>1114</v>
      </c>
      <c r="H1944" s="1" t="s">
        <v>60</v>
      </c>
      <c r="I1944" t="s">
        <v>1121</v>
      </c>
      <c r="J1944" t="s">
        <v>271</v>
      </c>
      <c r="K1944" t="s">
        <v>272</v>
      </c>
      <c r="L1944" t="s">
        <v>273</v>
      </c>
      <c r="M1944">
        <v>906174</v>
      </c>
    </row>
    <row r="1945" spans="1:13" ht="15">
      <c r="A1945" s="4">
        <v>201407</v>
      </c>
      <c r="B1945" t="s">
        <v>270</v>
      </c>
      <c r="C1945" s="5">
        <v>6561535</v>
      </c>
      <c r="D1945" s="2" t="s">
        <v>1113</v>
      </c>
      <c r="E1945" s="2" t="s">
        <v>15</v>
      </c>
      <c r="F1945" s="3">
        <v>2658</v>
      </c>
      <c r="G1945" t="s">
        <v>1114</v>
      </c>
      <c r="H1945" s="1" t="s">
        <v>60</v>
      </c>
      <c r="I1945" t="s">
        <v>1122</v>
      </c>
      <c r="J1945" t="s">
        <v>271</v>
      </c>
      <c r="K1945" t="s">
        <v>272</v>
      </c>
      <c r="L1945" t="s">
        <v>273</v>
      </c>
      <c r="M1945">
        <v>906174</v>
      </c>
    </row>
    <row r="1946" spans="1:13" ht="15">
      <c r="A1946" s="4">
        <v>201407</v>
      </c>
      <c r="B1946" t="s">
        <v>270</v>
      </c>
      <c r="C1946" s="5">
        <v>6561535</v>
      </c>
      <c r="D1946" s="2" t="s">
        <v>1113</v>
      </c>
      <c r="E1946" s="2" t="s">
        <v>15</v>
      </c>
      <c r="F1946" s="3">
        <v>5311</v>
      </c>
      <c r="G1946" t="s">
        <v>1114</v>
      </c>
      <c r="H1946" s="1" t="s">
        <v>60</v>
      </c>
      <c r="I1946" t="s">
        <v>1123</v>
      </c>
      <c r="J1946" t="s">
        <v>271</v>
      </c>
      <c r="K1946" t="s">
        <v>272</v>
      </c>
      <c r="L1946" t="s">
        <v>273</v>
      </c>
      <c r="M1946">
        <v>906174</v>
      </c>
    </row>
    <row r="1947" spans="1:14" ht="15">
      <c r="A1947" s="4">
        <v>201407</v>
      </c>
      <c r="B1947" t="s">
        <v>270</v>
      </c>
      <c r="C1947" s="5">
        <v>6561535</v>
      </c>
      <c r="D1947" s="2" t="s">
        <v>1113</v>
      </c>
      <c r="E1947" s="2" t="s">
        <v>15</v>
      </c>
      <c r="F1947" s="3">
        <v>1.56</v>
      </c>
      <c r="G1947" t="s">
        <v>57</v>
      </c>
      <c r="H1947" s="1" t="s">
        <v>69</v>
      </c>
      <c r="I1947">
        <f>-19389/1406051/1</f>
        <v>-0.013789684726940915</v>
      </c>
      <c r="J1947" t="s">
        <v>271</v>
      </c>
      <c r="K1947" t="s">
        <v>272</v>
      </c>
      <c r="L1947" t="s">
        <v>273</v>
      </c>
      <c r="N1947" t="s">
        <v>58</v>
      </c>
    </row>
    <row r="1948" spans="1:12" ht="15">
      <c r="A1948" s="4">
        <v>201407</v>
      </c>
      <c r="B1948" t="s">
        <v>270</v>
      </c>
      <c r="C1948" s="5">
        <v>6561535</v>
      </c>
      <c r="D1948" s="2" t="s">
        <v>1113</v>
      </c>
      <c r="E1948" s="2" t="s">
        <v>15</v>
      </c>
      <c r="F1948" s="3">
        <v>26</v>
      </c>
      <c r="G1948" t="s">
        <v>1114</v>
      </c>
      <c r="H1948" s="1" t="s">
        <v>69</v>
      </c>
      <c r="I1948" t="e">
        <f>-freight</f>
        <v>#NAME?</v>
      </c>
      <c r="J1948" t="s">
        <v>271</v>
      </c>
      <c r="K1948" t="s">
        <v>272</v>
      </c>
      <c r="L1948" t="s">
        <v>273</v>
      </c>
    </row>
    <row r="1949" spans="1:12" ht="15">
      <c r="A1949" s="4">
        <v>201404</v>
      </c>
      <c r="B1949" t="s">
        <v>270</v>
      </c>
      <c r="C1949" s="5">
        <v>6561799</v>
      </c>
      <c r="D1949" s="2" t="s">
        <v>1124</v>
      </c>
      <c r="E1949" s="2" t="s">
        <v>15</v>
      </c>
      <c r="F1949" s="3">
        <v>4846</v>
      </c>
      <c r="H1949" s="1" t="s">
        <v>14</v>
      </c>
      <c r="I1949" t="s">
        <v>180</v>
      </c>
      <c r="J1949" t="s">
        <v>271</v>
      </c>
      <c r="K1949" t="s">
        <v>272</v>
      </c>
      <c r="L1949" t="s">
        <v>273</v>
      </c>
    </row>
    <row r="1950" spans="1:12" ht="15">
      <c r="A1950" s="4">
        <v>201404</v>
      </c>
      <c r="B1950" t="s">
        <v>270</v>
      </c>
      <c r="C1950" s="5">
        <v>6561970</v>
      </c>
      <c r="D1950" s="2" t="s">
        <v>1125</v>
      </c>
      <c r="E1950" s="2" t="s">
        <v>15</v>
      </c>
      <c r="F1950" s="3">
        <v>28</v>
      </c>
      <c r="H1950" s="1" t="s">
        <v>14</v>
      </c>
      <c r="I1950" t="s">
        <v>90</v>
      </c>
      <c r="J1950" t="s">
        <v>271</v>
      </c>
      <c r="K1950" t="s">
        <v>272</v>
      </c>
      <c r="L1950" t="s">
        <v>273</v>
      </c>
    </row>
    <row r="1951" spans="1:14" ht="15">
      <c r="A1951" s="4">
        <v>201405</v>
      </c>
      <c r="B1951" t="s">
        <v>270</v>
      </c>
      <c r="C1951" s="5">
        <v>6563013</v>
      </c>
      <c r="D1951" s="2" t="s">
        <v>1126</v>
      </c>
      <c r="E1951" s="2" t="s">
        <v>15</v>
      </c>
      <c r="F1951" s="3">
        <v>17.24</v>
      </c>
      <c r="G1951" t="s">
        <v>57</v>
      </c>
      <c r="H1951" s="1" t="s">
        <v>60</v>
      </c>
      <c r="I1951">
        <f>-16426/1214279/1</f>
        <v>-0.01352736891603989</v>
      </c>
      <c r="J1951" t="s">
        <v>271</v>
      </c>
      <c r="K1951" t="s">
        <v>272</v>
      </c>
      <c r="L1951" t="s">
        <v>273</v>
      </c>
      <c r="N1951" t="s">
        <v>58</v>
      </c>
    </row>
    <row r="1952" spans="1:13" ht="15">
      <c r="A1952" s="4">
        <v>201405</v>
      </c>
      <c r="B1952" t="s">
        <v>270</v>
      </c>
      <c r="C1952" s="5">
        <v>6563013</v>
      </c>
      <c r="D1952" s="2" t="s">
        <v>1126</v>
      </c>
      <c r="E1952" s="2" t="s">
        <v>15</v>
      </c>
      <c r="F1952" s="3">
        <v>287.3</v>
      </c>
      <c r="G1952" t="s">
        <v>1127</v>
      </c>
      <c r="H1952" s="1" t="s">
        <v>60</v>
      </c>
      <c r="I1952" t="s">
        <v>1128</v>
      </c>
      <c r="J1952" t="s">
        <v>271</v>
      </c>
      <c r="K1952" t="s">
        <v>272</v>
      </c>
      <c r="L1952" t="s">
        <v>273</v>
      </c>
      <c r="M1952">
        <v>903696</v>
      </c>
    </row>
    <row r="1953" spans="1:14" ht="15">
      <c r="A1953" s="4">
        <v>201405</v>
      </c>
      <c r="B1953" t="s">
        <v>270</v>
      </c>
      <c r="C1953" s="5">
        <v>6563013</v>
      </c>
      <c r="D1953" s="2" t="s">
        <v>1126</v>
      </c>
      <c r="E1953" s="2" t="s">
        <v>15</v>
      </c>
      <c r="F1953" s="3">
        <v>0.59</v>
      </c>
      <c r="G1953" t="s">
        <v>57</v>
      </c>
      <c r="H1953" s="1" t="s">
        <v>69</v>
      </c>
      <c r="I1953">
        <f>-16426/1214279/1</f>
        <v>-0.01352736891603989</v>
      </c>
      <c r="J1953" t="s">
        <v>271</v>
      </c>
      <c r="K1953" t="s">
        <v>272</v>
      </c>
      <c r="L1953" t="s">
        <v>273</v>
      </c>
      <c r="N1953" t="s">
        <v>58</v>
      </c>
    </row>
    <row r="1954" spans="1:12" ht="15">
      <c r="A1954" s="4">
        <v>201405</v>
      </c>
      <c r="B1954" t="s">
        <v>270</v>
      </c>
      <c r="C1954" s="5">
        <v>6563013</v>
      </c>
      <c r="D1954" s="2" t="s">
        <v>1126</v>
      </c>
      <c r="E1954" s="2" t="s">
        <v>15</v>
      </c>
      <c r="F1954" s="3">
        <v>9.91</v>
      </c>
      <c r="G1954" t="s">
        <v>1127</v>
      </c>
      <c r="H1954" s="1" t="s">
        <v>69</v>
      </c>
      <c r="I1954" t="s">
        <v>1128</v>
      </c>
      <c r="J1954" t="s">
        <v>271</v>
      </c>
      <c r="K1954" t="s">
        <v>272</v>
      </c>
      <c r="L1954" t="s">
        <v>273</v>
      </c>
    </row>
    <row r="1955" spans="1:12" ht="15">
      <c r="A1955" s="4">
        <v>201404</v>
      </c>
      <c r="B1955" t="s">
        <v>270</v>
      </c>
      <c r="C1955" s="5">
        <v>6563100</v>
      </c>
      <c r="D1955" s="2" t="s">
        <v>1129</v>
      </c>
      <c r="E1955" s="2" t="s">
        <v>15</v>
      </c>
      <c r="F1955" s="3">
        <v>0</v>
      </c>
      <c r="H1955" s="1" t="s">
        <v>68</v>
      </c>
      <c r="J1955" t="s">
        <v>271</v>
      </c>
      <c r="K1955" t="s">
        <v>272</v>
      </c>
      <c r="L1955" t="s">
        <v>273</v>
      </c>
    </row>
    <row r="1956" spans="1:12" ht="15">
      <c r="A1956" s="4">
        <v>201404</v>
      </c>
      <c r="B1956" t="s">
        <v>270</v>
      </c>
      <c r="C1956" s="5">
        <v>6563100</v>
      </c>
      <c r="D1956" s="2" t="s">
        <v>1129</v>
      </c>
      <c r="E1956" s="2" t="s">
        <v>15</v>
      </c>
      <c r="F1956" s="3">
        <v>6</v>
      </c>
      <c r="H1956" s="1" t="s">
        <v>68</v>
      </c>
      <c r="J1956" t="s">
        <v>271</v>
      </c>
      <c r="K1956" t="s">
        <v>272</v>
      </c>
      <c r="L1956" t="s">
        <v>273</v>
      </c>
    </row>
    <row r="1957" spans="1:14" ht="15">
      <c r="A1957" s="4">
        <v>201405</v>
      </c>
      <c r="B1957" t="s">
        <v>270</v>
      </c>
      <c r="C1957" s="5">
        <v>6565879</v>
      </c>
      <c r="D1957" s="2" t="s">
        <v>1130</v>
      </c>
      <c r="E1957" s="2" t="s">
        <v>15</v>
      </c>
      <c r="F1957" s="3">
        <v>-161.12</v>
      </c>
      <c r="G1957" t="s">
        <v>57</v>
      </c>
      <c r="H1957" s="1" t="s">
        <v>60</v>
      </c>
      <c r="I1957">
        <f>-23729/70578088/2</f>
        <v>-0.00016810458226071526</v>
      </c>
      <c r="J1957" t="s">
        <v>271</v>
      </c>
      <c r="K1957" t="s">
        <v>272</v>
      </c>
      <c r="L1957" t="s">
        <v>273</v>
      </c>
      <c r="N1957" t="s">
        <v>58</v>
      </c>
    </row>
    <row r="1958" spans="1:13" ht="15">
      <c r="A1958" s="4">
        <v>201405</v>
      </c>
      <c r="B1958" t="s">
        <v>270</v>
      </c>
      <c r="C1958" s="5">
        <v>6565879</v>
      </c>
      <c r="D1958" s="2" t="s">
        <v>1130</v>
      </c>
      <c r="E1958" s="2" t="s">
        <v>15</v>
      </c>
      <c r="F1958" s="3">
        <v>0</v>
      </c>
      <c r="G1958" t="s">
        <v>1131</v>
      </c>
      <c r="H1958" s="1" t="s">
        <v>60</v>
      </c>
      <c r="I1958" t="s">
        <v>1132</v>
      </c>
      <c r="J1958" t="s">
        <v>271</v>
      </c>
      <c r="K1958" t="s">
        <v>272</v>
      </c>
      <c r="L1958" t="s">
        <v>273</v>
      </c>
      <c r="M1958">
        <v>904630</v>
      </c>
    </row>
    <row r="1959" spans="1:13" ht="15">
      <c r="A1959" s="4">
        <v>201405</v>
      </c>
      <c r="B1959" t="s">
        <v>270</v>
      </c>
      <c r="C1959" s="5">
        <v>6565879</v>
      </c>
      <c r="D1959" s="2" t="s">
        <v>1130</v>
      </c>
      <c r="E1959" s="2" t="s">
        <v>15</v>
      </c>
      <c r="F1959" s="3">
        <v>0</v>
      </c>
      <c r="G1959" t="s">
        <v>1131</v>
      </c>
      <c r="H1959" s="1" t="s">
        <v>60</v>
      </c>
      <c r="I1959" t="s">
        <v>1133</v>
      </c>
      <c r="J1959" t="s">
        <v>271</v>
      </c>
      <c r="K1959" t="s">
        <v>272</v>
      </c>
      <c r="L1959" t="s">
        <v>273</v>
      </c>
      <c r="M1959">
        <v>904630</v>
      </c>
    </row>
    <row r="1960" spans="1:13" ht="15">
      <c r="A1960" s="4">
        <v>201405</v>
      </c>
      <c r="B1960" t="s">
        <v>270</v>
      </c>
      <c r="C1960" s="5">
        <v>6565879</v>
      </c>
      <c r="D1960" s="2" t="s">
        <v>1130</v>
      </c>
      <c r="E1960" s="2" t="s">
        <v>15</v>
      </c>
      <c r="F1960" s="3">
        <v>0</v>
      </c>
      <c r="G1960" t="s">
        <v>1131</v>
      </c>
      <c r="H1960" s="1" t="s">
        <v>60</v>
      </c>
      <c r="I1960" t="s">
        <v>1134</v>
      </c>
      <c r="J1960" t="s">
        <v>271</v>
      </c>
      <c r="K1960" t="s">
        <v>272</v>
      </c>
      <c r="L1960" t="s">
        <v>273</v>
      </c>
      <c r="M1960">
        <v>904630</v>
      </c>
    </row>
    <row r="1961" spans="1:13" ht="15">
      <c r="A1961" s="4">
        <v>201405</v>
      </c>
      <c r="B1961" t="s">
        <v>270</v>
      </c>
      <c r="C1961" s="5">
        <v>6565879</v>
      </c>
      <c r="D1961" s="2" t="s">
        <v>1130</v>
      </c>
      <c r="E1961" s="2" t="s">
        <v>15</v>
      </c>
      <c r="F1961" s="3">
        <v>153.15</v>
      </c>
      <c r="G1961" t="s">
        <v>1131</v>
      </c>
      <c r="H1961" s="1" t="s">
        <v>60</v>
      </c>
      <c r="I1961" t="s">
        <v>1132</v>
      </c>
      <c r="J1961" t="s">
        <v>271</v>
      </c>
      <c r="K1961" t="s">
        <v>272</v>
      </c>
      <c r="L1961" t="s">
        <v>273</v>
      </c>
      <c r="M1961">
        <v>904630</v>
      </c>
    </row>
    <row r="1962" spans="1:14" ht="15">
      <c r="A1962" s="4">
        <v>201405</v>
      </c>
      <c r="B1962" t="s">
        <v>270</v>
      </c>
      <c r="C1962" s="5">
        <v>6565879</v>
      </c>
      <c r="D1962" s="2" t="s">
        <v>1130</v>
      </c>
      <c r="E1962" s="2" t="s">
        <v>15</v>
      </c>
      <c r="F1962" s="3">
        <v>161.12</v>
      </c>
      <c r="G1962" t="s">
        <v>57</v>
      </c>
      <c r="H1962" s="1" t="s">
        <v>60</v>
      </c>
      <c r="I1962">
        <f>-23729/70578088/1</f>
        <v>-0.0003362091645214305</v>
      </c>
      <c r="J1962" t="s">
        <v>271</v>
      </c>
      <c r="K1962" t="s">
        <v>272</v>
      </c>
      <c r="L1962" t="s">
        <v>273</v>
      </c>
      <c r="N1962" t="s">
        <v>58</v>
      </c>
    </row>
    <row r="1963" spans="1:14" ht="15">
      <c r="A1963" s="4">
        <v>201405</v>
      </c>
      <c r="B1963" t="s">
        <v>270</v>
      </c>
      <c r="C1963" s="5">
        <v>6565879</v>
      </c>
      <c r="D1963" s="2" t="s">
        <v>1130</v>
      </c>
      <c r="E1963" s="2" t="s">
        <v>15</v>
      </c>
      <c r="F1963" s="3">
        <v>161.12</v>
      </c>
      <c r="G1963" t="s">
        <v>57</v>
      </c>
      <c r="H1963" s="1" t="s">
        <v>60</v>
      </c>
      <c r="I1963">
        <f>-23729/70587088/1</f>
        <v>-0.00033616629715621646</v>
      </c>
      <c r="J1963" t="s">
        <v>271</v>
      </c>
      <c r="K1963" t="s">
        <v>272</v>
      </c>
      <c r="L1963" t="s">
        <v>273</v>
      </c>
      <c r="N1963" t="s">
        <v>58</v>
      </c>
    </row>
    <row r="1964" spans="1:13" ht="15">
      <c r="A1964" s="4">
        <v>201405</v>
      </c>
      <c r="B1964" t="s">
        <v>270</v>
      </c>
      <c r="C1964" s="5">
        <v>6565879</v>
      </c>
      <c r="D1964" s="2" t="s">
        <v>1130</v>
      </c>
      <c r="E1964" s="2" t="s">
        <v>15</v>
      </c>
      <c r="F1964" s="3">
        <v>537.84</v>
      </c>
      <c r="G1964" t="s">
        <v>1131</v>
      </c>
      <c r="H1964" s="1" t="s">
        <v>60</v>
      </c>
      <c r="I1964" t="s">
        <v>1133</v>
      </c>
      <c r="J1964" t="s">
        <v>271</v>
      </c>
      <c r="K1964" t="s">
        <v>272</v>
      </c>
      <c r="L1964" t="s">
        <v>273</v>
      </c>
      <c r="M1964">
        <v>904630</v>
      </c>
    </row>
    <row r="1965" spans="1:13" ht="15">
      <c r="A1965" s="4">
        <v>201405</v>
      </c>
      <c r="B1965" t="s">
        <v>270</v>
      </c>
      <c r="C1965" s="5">
        <v>6565879</v>
      </c>
      <c r="D1965" s="2" t="s">
        <v>1130</v>
      </c>
      <c r="E1965" s="2" t="s">
        <v>15</v>
      </c>
      <c r="F1965" s="3">
        <v>1994.29</v>
      </c>
      <c r="G1965" t="s">
        <v>1131</v>
      </c>
      <c r="H1965" s="1" t="s">
        <v>60</v>
      </c>
      <c r="I1965" t="s">
        <v>1134</v>
      </c>
      <c r="J1965" t="s">
        <v>271</v>
      </c>
      <c r="K1965" t="s">
        <v>272</v>
      </c>
      <c r="L1965" t="s">
        <v>273</v>
      </c>
      <c r="M1965">
        <v>904630</v>
      </c>
    </row>
    <row r="1966" spans="1:12" ht="15">
      <c r="A1966" s="4">
        <v>201405</v>
      </c>
      <c r="B1966" t="s">
        <v>270</v>
      </c>
      <c r="C1966" s="5">
        <v>6569574</v>
      </c>
      <c r="D1966" s="2" t="s">
        <v>1135</v>
      </c>
      <c r="E1966" s="2" t="s">
        <v>15</v>
      </c>
      <c r="F1966" s="3">
        <v>0.45</v>
      </c>
      <c r="H1966" s="1" t="s">
        <v>66</v>
      </c>
      <c r="I1966" t="s">
        <v>67</v>
      </c>
      <c r="J1966" t="s">
        <v>271</v>
      </c>
      <c r="K1966" t="s">
        <v>272</v>
      </c>
      <c r="L1966" t="s">
        <v>273</v>
      </c>
    </row>
    <row r="1967" spans="1:12" ht="15">
      <c r="A1967" s="4">
        <v>201401</v>
      </c>
      <c r="B1967" t="s">
        <v>1136</v>
      </c>
      <c r="C1967" s="5">
        <v>6473892</v>
      </c>
      <c r="D1967" s="2" t="s">
        <v>337</v>
      </c>
      <c r="E1967" s="2" t="s">
        <v>15</v>
      </c>
      <c r="F1967" s="3">
        <v>0.56</v>
      </c>
      <c r="H1967" s="1" t="s">
        <v>66</v>
      </c>
      <c r="I1967" t="s">
        <v>67</v>
      </c>
      <c r="J1967" t="s">
        <v>1137</v>
      </c>
      <c r="K1967" t="s">
        <v>1138</v>
      </c>
      <c r="L1967" t="s">
        <v>1139</v>
      </c>
    </row>
    <row r="1968" spans="1:13" ht="15">
      <c r="A1968" s="4">
        <v>201401</v>
      </c>
      <c r="B1968" t="s">
        <v>1136</v>
      </c>
      <c r="C1968" s="5">
        <v>6521560</v>
      </c>
      <c r="D1968" s="2" t="s">
        <v>1141</v>
      </c>
      <c r="E1968" s="2" t="s">
        <v>1142</v>
      </c>
      <c r="F1968" s="3">
        <v>170.24</v>
      </c>
      <c r="G1968" t="s">
        <v>119</v>
      </c>
      <c r="H1968" s="1" t="s">
        <v>46</v>
      </c>
      <c r="I1968" t="s">
        <v>1140</v>
      </c>
      <c r="J1968" t="s">
        <v>1137</v>
      </c>
      <c r="K1968" t="s">
        <v>1138</v>
      </c>
      <c r="L1968" t="s">
        <v>1139</v>
      </c>
      <c r="M1968">
        <v>897239</v>
      </c>
    </row>
    <row r="1969" spans="1:13" ht="15">
      <c r="A1969" s="4">
        <v>201401</v>
      </c>
      <c r="B1969" t="s">
        <v>1136</v>
      </c>
      <c r="C1969" s="5">
        <v>6521560</v>
      </c>
      <c r="D1969" s="2" t="s">
        <v>1141</v>
      </c>
      <c r="E1969" s="2" t="s">
        <v>1142</v>
      </c>
      <c r="F1969" s="3">
        <v>348</v>
      </c>
      <c r="G1969" t="s">
        <v>55</v>
      </c>
      <c r="H1969" s="1" t="s">
        <v>46</v>
      </c>
      <c r="I1969" t="s">
        <v>1143</v>
      </c>
      <c r="J1969" t="s">
        <v>1137</v>
      </c>
      <c r="K1969" t="s">
        <v>1138</v>
      </c>
      <c r="L1969" t="s">
        <v>1139</v>
      </c>
      <c r="M1969">
        <v>897594</v>
      </c>
    </row>
    <row r="1970" spans="1:13" ht="15">
      <c r="A1970" s="4">
        <v>201401</v>
      </c>
      <c r="B1970" t="s">
        <v>1136</v>
      </c>
      <c r="C1970" s="5">
        <v>6521560</v>
      </c>
      <c r="D1970" s="2" t="s">
        <v>1141</v>
      </c>
      <c r="E1970" s="2" t="s">
        <v>1142</v>
      </c>
      <c r="F1970" s="3">
        <v>1811.42</v>
      </c>
      <c r="G1970" t="s">
        <v>47</v>
      </c>
      <c r="H1970" s="1" t="s">
        <v>46</v>
      </c>
      <c r="I1970" t="s">
        <v>1144</v>
      </c>
      <c r="J1970" t="s">
        <v>1137</v>
      </c>
      <c r="K1970" t="s">
        <v>1138</v>
      </c>
      <c r="L1970" t="s">
        <v>1139</v>
      </c>
      <c r="M1970">
        <v>896730</v>
      </c>
    </row>
    <row r="1971" spans="1:13" ht="15">
      <c r="A1971" s="4">
        <v>201401</v>
      </c>
      <c r="B1971" t="s">
        <v>1136</v>
      </c>
      <c r="C1971" s="5">
        <v>6521560</v>
      </c>
      <c r="D1971" s="2" t="s">
        <v>1141</v>
      </c>
      <c r="E1971" s="2" t="s">
        <v>1142</v>
      </c>
      <c r="F1971" s="3">
        <v>5128.27</v>
      </c>
      <c r="G1971" t="s">
        <v>49</v>
      </c>
      <c r="H1971" s="1" t="s">
        <v>46</v>
      </c>
      <c r="I1971" t="s">
        <v>1145</v>
      </c>
      <c r="J1971" t="s">
        <v>1137</v>
      </c>
      <c r="K1971" t="s">
        <v>1138</v>
      </c>
      <c r="L1971" t="s">
        <v>1139</v>
      </c>
      <c r="M1971">
        <v>897595</v>
      </c>
    </row>
    <row r="1972" spans="1:13" ht="15">
      <c r="A1972" s="4">
        <v>201402</v>
      </c>
      <c r="B1972" t="s">
        <v>1136</v>
      </c>
      <c r="C1972" s="5">
        <v>6521560</v>
      </c>
      <c r="D1972" s="2" t="s">
        <v>1141</v>
      </c>
      <c r="E1972" s="2" t="s">
        <v>1142</v>
      </c>
      <c r="F1972" s="3">
        <v>144.72</v>
      </c>
      <c r="G1972" t="s">
        <v>49</v>
      </c>
      <c r="H1972" s="1" t="s">
        <v>46</v>
      </c>
      <c r="I1972" t="s">
        <v>1146</v>
      </c>
      <c r="J1972" t="s">
        <v>1137</v>
      </c>
      <c r="K1972" t="s">
        <v>1138</v>
      </c>
      <c r="L1972" t="s">
        <v>1139</v>
      </c>
      <c r="M1972">
        <v>898744</v>
      </c>
    </row>
    <row r="1973" spans="1:14" ht="15">
      <c r="A1973" s="4">
        <v>201401</v>
      </c>
      <c r="B1973" t="s">
        <v>1136</v>
      </c>
      <c r="C1973" s="5">
        <v>6521560</v>
      </c>
      <c r="D1973" s="2" t="s">
        <v>1141</v>
      </c>
      <c r="E1973" s="2" t="s">
        <v>1142</v>
      </c>
      <c r="F1973" s="3">
        <v>0.15</v>
      </c>
      <c r="G1973" t="s">
        <v>57</v>
      </c>
      <c r="H1973" s="1" t="s">
        <v>248</v>
      </c>
      <c r="I1973" t="e">
        <f>-51223/EAF2935LV/2</f>
        <v>#NAME?</v>
      </c>
      <c r="J1973" t="s">
        <v>1137</v>
      </c>
      <c r="K1973" t="s">
        <v>1138</v>
      </c>
      <c r="L1973" t="s">
        <v>1139</v>
      </c>
      <c r="N1973" t="s">
        <v>58</v>
      </c>
    </row>
    <row r="1974" spans="1:14" ht="15">
      <c r="A1974" s="4">
        <v>201401</v>
      </c>
      <c r="B1974" t="s">
        <v>1136</v>
      </c>
      <c r="C1974" s="5">
        <v>6521560</v>
      </c>
      <c r="D1974" s="2" t="s">
        <v>1141</v>
      </c>
      <c r="E1974" s="2" t="s">
        <v>1142</v>
      </c>
      <c r="F1974" s="3">
        <v>4.88</v>
      </c>
      <c r="G1974" t="s">
        <v>57</v>
      </c>
      <c r="H1974" s="1" t="s">
        <v>248</v>
      </c>
      <c r="I1974">
        <f>-22444/4780018/1</f>
        <v>-0.004695379808193191</v>
      </c>
      <c r="J1974" t="s">
        <v>1137</v>
      </c>
      <c r="K1974" t="s">
        <v>1138</v>
      </c>
      <c r="L1974" t="s">
        <v>1139</v>
      </c>
      <c r="N1974" t="s">
        <v>58</v>
      </c>
    </row>
    <row r="1975" spans="1:14" ht="15">
      <c r="A1975" s="4">
        <v>201401</v>
      </c>
      <c r="B1975" t="s">
        <v>1136</v>
      </c>
      <c r="C1975" s="5">
        <v>6521560</v>
      </c>
      <c r="D1975" s="2" t="s">
        <v>1141</v>
      </c>
      <c r="E1975" s="2" t="s">
        <v>1142</v>
      </c>
      <c r="F1975" s="3">
        <v>5.45</v>
      </c>
      <c r="G1975" t="s">
        <v>57</v>
      </c>
      <c r="H1975" s="1" t="s">
        <v>248</v>
      </c>
      <c r="I1975" t="e">
        <f>-51223/EAF2936IN/1</f>
        <v>#NAME?</v>
      </c>
      <c r="J1975" t="s">
        <v>1137</v>
      </c>
      <c r="K1975" t="s">
        <v>1138</v>
      </c>
      <c r="L1975" t="s">
        <v>1139</v>
      </c>
      <c r="N1975" t="s">
        <v>58</v>
      </c>
    </row>
    <row r="1976" spans="1:12" ht="15">
      <c r="A1976" s="4">
        <v>201401</v>
      </c>
      <c r="B1976" t="s">
        <v>1136</v>
      </c>
      <c r="C1976" s="5">
        <v>6521560</v>
      </c>
      <c r="D1976" s="2" t="s">
        <v>1141</v>
      </c>
      <c r="E1976" s="2" t="s">
        <v>1142</v>
      </c>
      <c r="F1976" s="3">
        <v>10.6</v>
      </c>
      <c r="G1976" t="s">
        <v>249</v>
      </c>
      <c r="H1976" s="1" t="s">
        <v>248</v>
      </c>
      <c r="I1976" t="s">
        <v>112</v>
      </c>
      <c r="J1976" t="s">
        <v>1137</v>
      </c>
      <c r="K1976" t="s">
        <v>1138</v>
      </c>
      <c r="L1976" t="s">
        <v>1139</v>
      </c>
    </row>
    <row r="1977" spans="1:14" ht="15">
      <c r="A1977" s="4">
        <v>201401</v>
      </c>
      <c r="B1977" t="s">
        <v>1136</v>
      </c>
      <c r="C1977" s="5">
        <v>6521560</v>
      </c>
      <c r="D1977" s="2" t="s">
        <v>1141</v>
      </c>
      <c r="E1977" s="2" t="s">
        <v>1142</v>
      </c>
      <c r="F1977" s="3">
        <v>55.87</v>
      </c>
      <c r="G1977" t="s">
        <v>57</v>
      </c>
      <c r="H1977" s="1" t="s">
        <v>248</v>
      </c>
      <c r="I1977">
        <f>-22444/4780430/1</f>
        <v>-0.004694975138219783</v>
      </c>
      <c r="J1977" t="s">
        <v>1137</v>
      </c>
      <c r="K1977" t="s">
        <v>1138</v>
      </c>
      <c r="L1977" t="s">
        <v>1139</v>
      </c>
      <c r="N1977" t="s">
        <v>58</v>
      </c>
    </row>
    <row r="1978" spans="1:14" ht="15">
      <c r="A1978" s="4">
        <v>201401</v>
      </c>
      <c r="B1978" t="s">
        <v>1136</v>
      </c>
      <c r="C1978" s="5">
        <v>6521560</v>
      </c>
      <c r="D1978" s="2" t="s">
        <v>1141</v>
      </c>
      <c r="E1978" s="2" t="s">
        <v>1142</v>
      </c>
      <c r="F1978" s="3">
        <v>62.86</v>
      </c>
      <c r="G1978" t="s">
        <v>57</v>
      </c>
      <c r="H1978" s="1" t="s">
        <v>248</v>
      </c>
      <c r="I1978" t="e">
        <f>-51223/EAF2935LV/1</f>
        <v>#NAME?</v>
      </c>
      <c r="J1978" t="s">
        <v>1137</v>
      </c>
      <c r="K1978" t="s">
        <v>1138</v>
      </c>
      <c r="L1978" t="s">
        <v>1139</v>
      </c>
      <c r="N1978" t="s">
        <v>58</v>
      </c>
    </row>
    <row r="1979" spans="1:13" ht="15">
      <c r="A1979" s="4">
        <v>201401</v>
      </c>
      <c r="B1979" t="s">
        <v>1136</v>
      </c>
      <c r="C1979" s="5">
        <v>6521560</v>
      </c>
      <c r="D1979" s="2" t="s">
        <v>1141</v>
      </c>
      <c r="E1979" s="2" t="s">
        <v>1142</v>
      </c>
      <c r="F1979" s="3">
        <v>79.83</v>
      </c>
      <c r="G1979" t="s">
        <v>249</v>
      </c>
      <c r="H1979" s="1" t="s">
        <v>248</v>
      </c>
      <c r="I1979" t="s">
        <v>1147</v>
      </c>
      <c r="J1979" t="s">
        <v>1137</v>
      </c>
      <c r="K1979" t="s">
        <v>1138</v>
      </c>
      <c r="L1979" t="s">
        <v>1139</v>
      </c>
      <c r="M1979">
        <v>896570</v>
      </c>
    </row>
    <row r="1980" spans="1:14" ht="15">
      <c r="A1980" s="4">
        <v>201401</v>
      </c>
      <c r="B1980" t="s">
        <v>1136</v>
      </c>
      <c r="C1980" s="5">
        <v>6521560</v>
      </c>
      <c r="D1980" s="2" t="s">
        <v>1141</v>
      </c>
      <c r="E1980" s="2" t="s">
        <v>1142</v>
      </c>
      <c r="F1980" s="3">
        <v>81.4</v>
      </c>
      <c r="G1980" t="s">
        <v>1148</v>
      </c>
      <c r="H1980" s="1" t="s">
        <v>248</v>
      </c>
      <c r="I1980" t="s">
        <v>1149</v>
      </c>
      <c r="J1980" t="s">
        <v>1137</v>
      </c>
      <c r="K1980" t="s">
        <v>1138</v>
      </c>
      <c r="L1980" t="s">
        <v>1139</v>
      </c>
      <c r="M1980">
        <v>896569</v>
      </c>
      <c r="N1980" t="s">
        <v>1150</v>
      </c>
    </row>
    <row r="1981" spans="1:13" ht="15">
      <c r="A1981" s="4">
        <v>201401</v>
      </c>
      <c r="B1981" t="s">
        <v>1136</v>
      </c>
      <c r="C1981" s="5">
        <v>6521560</v>
      </c>
      <c r="D1981" s="2" t="s">
        <v>1141</v>
      </c>
      <c r="E1981" s="2" t="s">
        <v>1142</v>
      </c>
      <c r="F1981" s="3">
        <v>116.06</v>
      </c>
      <c r="G1981" t="s">
        <v>249</v>
      </c>
      <c r="H1981" s="1" t="s">
        <v>248</v>
      </c>
      <c r="I1981" t="s">
        <v>1151</v>
      </c>
      <c r="J1981" t="s">
        <v>1137</v>
      </c>
      <c r="K1981" t="s">
        <v>1138</v>
      </c>
      <c r="L1981" t="s">
        <v>1139</v>
      </c>
      <c r="M1981">
        <v>896570</v>
      </c>
    </row>
    <row r="1982" spans="1:13" ht="15">
      <c r="A1982" s="4">
        <v>201401</v>
      </c>
      <c r="B1982" t="s">
        <v>1136</v>
      </c>
      <c r="C1982" s="5">
        <v>6521560</v>
      </c>
      <c r="D1982" s="2" t="s">
        <v>1141</v>
      </c>
      <c r="E1982" s="2" t="s">
        <v>1142</v>
      </c>
      <c r="F1982" s="3">
        <v>928.78</v>
      </c>
      <c r="G1982" t="s">
        <v>249</v>
      </c>
      <c r="H1982" s="1" t="s">
        <v>248</v>
      </c>
      <c r="I1982" t="s">
        <v>1152</v>
      </c>
      <c r="J1982" t="s">
        <v>1137</v>
      </c>
      <c r="K1982" t="s">
        <v>1138</v>
      </c>
      <c r="L1982" t="s">
        <v>1139</v>
      </c>
      <c r="M1982">
        <v>896570</v>
      </c>
    </row>
    <row r="1983" spans="1:14" ht="15">
      <c r="A1983" s="4">
        <v>201401</v>
      </c>
      <c r="B1983" t="s">
        <v>1136</v>
      </c>
      <c r="C1983" s="5">
        <v>6521560</v>
      </c>
      <c r="D1983" s="2" t="s">
        <v>1141</v>
      </c>
      <c r="E1983" s="2" t="s">
        <v>1142</v>
      </c>
      <c r="F1983" s="3">
        <v>931.15</v>
      </c>
      <c r="G1983" t="s">
        <v>1148</v>
      </c>
      <c r="H1983" s="1" t="s">
        <v>248</v>
      </c>
      <c r="I1983" t="s">
        <v>1153</v>
      </c>
      <c r="J1983" t="s">
        <v>1137</v>
      </c>
      <c r="K1983" t="s">
        <v>1138</v>
      </c>
      <c r="L1983" t="s">
        <v>1139</v>
      </c>
      <c r="M1983">
        <v>896569</v>
      </c>
      <c r="N1983" t="s">
        <v>1150</v>
      </c>
    </row>
    <row r="1984" spans="1:12" ht="15">
      <c r="A1984" s="4">
        <v>201401</v>
      </c>
      <c r="B1984" t="s">
        <v>1136</v>
      </c>
      <c r="C1984" s="5">
        <v>6521560</v>
      </c>
      <c r="D1984" s="2" t="s">
        <v>1141</v>
      </c>
      <c r="E1984" s="2" t="s">
        <v>1142</v>
      </c>
      <c r="F1984" s="3">
        <v>1251</v>
      </c>
      <c r="H1984" s="1" t="s">
        <v>248</v>
      </c>
      <c r="I1984" t="s">
        <v>1154</v>
      </c>
      <c r="J1984" t="s">
        <v>1137</v>
      </c>
      <c r="K1984" t="s">
        <v>1138</v>
      </c>
      <c r="L1984" t="s">
        <v>1139</v>
      </c>
    </row>
    <row r="1985" spans="1:12" ht="15">
      <c r="A1985" s="4">
        <v>201402</v>
      </c>
      <c r="B1985" t="s">
        <v>1136</v>
      </c>
      <c r="C1985" s="5">
        <v>6521560</v>
      </c>
      <c r="D1985" s="2" t="s">
        <v>1141</v>
      </c>
      <c r="E1985" s="2" t="s">
        <v>1142</v>
      </c>
      <c r="F1985" s="3">
        <v>-1251</v>
      </c>
      <c r="H1985" s="1" t="s">
        <v>248</v>
      </c>
      <c r="I1985" t="s">
        <v>1154</v>
      </c>
      <c r="J1985" t="s">
        <v>1137</v>
      </c>
      <c r="K1985" t="s">
        <v>1138</v>
      </c>
      <c r="L1985" t="s">
        <v>1139</v>
      </c>
    </row>
    <row r="1986" spans="1:14" ht="15">
      <c r="A1986" s="4">
        <v>201402</v>
      </c>
      <c r="B1986" t="s">
        <v>1136</v>
      </c>
      <c r="C1986" s="5">
        <v>6521560</v>
      </c>
      <c r="D1986" s="2" t="s">
        <v>1141</v>
      </c>
      <c r="E1986" s="2" t="s">
        <v>1142</v>
      </c>
      <c r="F1986" s="3">
        <v>100.8</v>
      </c>
      <c r="G1986" t="s">
        <v>57</v>
      </c>
      <c r="H1986" s="1" t="s">
        <v>248</v>
      </c>
      <c r="I1986">
        <f>-55172/129309/1</f>
        <v>-0.4266679040128684</v>
      </c>
      <c r="J1986" t="s">
        <v>1137</v>
      </c>
      <c r="K1986" t="s">
        <v>1138</v>
      </c>
      <c r="L1986" t="s">
        <v>1139</v>
      </c>
      <c r="N1986" t="s">
        <v>58</v>
      </c>
    </row>
    <row r="1987" spans="1:13" ht="15">
      <c r="A1987" s="4">
        <v>201402</v>
      </c>
      <c r="B1987" t="s">
        <v>1136</v>
      </c>
      <c r="C1987" s="5">
        <v>6521560</v>
      </c>
      <c r="D1987" s="2" t="s">
        <v>1141</v>
      </c>
      <c r="E1987" s="2" t="s">
        <v>1142</v>
      </c>
      <c r="F1987" s="3">
        <v>429</v>
      </c>
      <c r="G1987" t="s">
        <v>65</v>
      </c>
      <c r="H1987" s="1" t="s">
        <v>248</v>
      </c>
      <c r="I1987" t="s">
        <v>1155</v>
      </c>
      <c r="J1987" t="s">
        <v>1137</v>
      </c>
      <c r="K1987" t="s">
        <v>1138</v>
      </c>
      <c r="L1987" t="s">
        <v>1139</v>
      </c>
      <c r="M1987">
        <v>896986</v>
      </c>
    </row>
    <row r="1988" spans="1:13" ht="15">
      <c r="A1988" s="4">
        <v>201402</v>
      </c>
      <c r="B1988" t="s">
        <v>1136</v>
      </c>
      <c r="C1988" s="5">
        <v>6521560</v>
      </c>
      <c r="D1988" s="2" t="s">
        <v>1141</v>
      </c>
      <c r="E1988" s="2" t="s">
        <v>1142</v>
      </c>
      <c r="F1988" s="3">
        <v>1251</v>
      </c>
      <c r="G1988" t="s">
        <v>65</v>
      </c>
      <c r="H1988" s="1" t="s">
        <v>248</v>
      </c>
      <c r="I1988" t="s">
        <v>1156</v>
      </c>
      <c r="J1988" t="s">
        <v>1137</v>
      </c>
      <c r="K1988" t="s">
        <v>1138</v>
      </c>
      <c r="L1988" t="s">
        <v>1139</v>
      </c>
      <c r="M1988">
        <v>896986</v>
      </c>
    </row>
    <row r="1989" spans="1:14" ht="15">
      <c r="A1989" s="4">
        <v>201404</v>
      </c>
      <c r="B1989" t="s">
        <v>1136</v>
      </c>
      <c r="C1989" s="5">
        <v>6521560</v>
      </c>
      <c r="D1989" s="2" t="s">
        <v>1141</v>
      </c>
      <c r="E1989" s="2" t="s">
        <v>1142</v>
      </c>
      <c r="F1989" s="3">
        <v>4.88</v>
      </c>
      <c r="G1989" t="s">
        <v>57</v>
      </c>
      <c r="H1989" s="1" t="s">
        <v>248</v>
      </c>
      <c r="I1989">
        <f>-22444/4776009/1</f>
        <v>-0.004699321127744943</v>
      </c>
      <c r="J1989" t="s">
        <v>1137</v>
      </c>
      <c r="K1989" t="s">
        <v>1138</v>
      </c>
      <c r="L1989" t="s">
        <v>1139</v>
      </c>
      <c r="N1989" t="s">
        <v>58</v>
      </c>
    </row>
    <row r="1990" spans="1:14" ht="15">
      <c r="A1990" s="4">
        <v>201404</v>
      </c>
      <c r="B1990" t="s">
        <v>1136</v>
      </c>
      <c r="C1990" s="5">
        <v>6521560</v>
      </c>
      <c r="D1990" s="2" t="s">
        <v>1141</v>
      </c>
      <c r="E1990" s="2" t="s">
        <v>1142</v>
      </c>
      <c r="F1990" s="3">
        <v>81.4</v>
      </c>
      <c r="G1990" t="s">
        <v>1148</v>
      </c>
      <c r="H1990" s="1" t="s">
        <v>248</v>
      </c>
      <c r="I1990" t="s">
        <v>1149</v>
      </c>
      <c r="J1990" t="s">
        <v>1137</v>
      </c>
      <c r="K1990" t="s">
        <v>1138</v>
      </c>
      <c r="L1990" t="s">
        <v>1139</v>
      </c>
      <c r="M1990">
        <v>896569</v>
      </c>
      <c r="N1990" t="s">
        <v>1150</v>
      </c>
    </row>
    <row r="1991" spans="1:12" ht="15">
      <c r="A1991" s="4">
        <v>201401</v>
      </c>
      <c r="B1991" t="s">
        <v>1136</v>
      </c>
      <c r="C1991" s="5">
        <v>6521560</v>
      </c>
      <c r="D1991" s="2" t="s">
        <v>1141</v>
      </c>
      <c r="E1991" s="2" t="s">
        <v>1142</v>
      </c>
      <c r="F1991" s="3">
        <v>4.51</v>
      </c>
      <c r="H1991" s="1" t="s">
        <v>66</v>
      </c>
      <c r="I1991" t="s">
        <v>67</v>
      </c>
      <c r="J1991" t="s">
        <v>1137</v>
      </c>
      <c r="K1991" t="s">
        <v>1138</v>
      </c>
      <c r="L1991" t="s">
        <v>1139</v>
      </c>
    </row>
    <row r="1992" spans="1:14" ht="15">
      <c r="A1992" s="4">
        <v>201401</v>
      </c>
      <c r="B1992" t="s">
        <v>1136</v>
      </c>
      <c r="C1992" s="5">
        <v>6521560</v>
      </c>
      <c r="D1992" s="2" t="s">
        <v>1141</v>
      </c>
      <c r="E1992" s="2" t="s">
        <v>1142</v>
      </c>
      <c r="F1992" s="3">
        <v>0.36</v>
      </c>
      <c r="G1992" t="s">
        <v>57</v>
      </c>
      <c r="H1992" s="1" t="s">
        <v>69</v>
      </c>
      <c r="I1992">
        <f>-22444/4780018/1</f>
        <v>-0.004695379808193191</v>
      </c>
      <c r="J1992" t="s">
        <v>1137</v>
      </c>
      <c r="K1992" t="s">
        <v>1138</v>
      </c>
      <c r="L1992" t="s">
        <v>1139</v>
      </c>
      <c r="N1992" t="s">
        <v>58</v>
      </c>
    </row>
    <row r="1993" spans="1:14" ht="15">
      <c r="A1993" s="4">
        <v>201401</v>
      </c>
      <c r="B1993" t="s">
        <v>1136</v>
      </c>
      <c r="C1993" s="5">
        <v>6521560</v>
      </c>
      <c r="D1993" s="2" t="s">
        <v>1141</v>
      </c>
      <c r="E1993" s="2" t="s">
        <v>1142</v>
      </c>
      <c r="F1993" s="3">
        <v>0.86</v>
      </c>
      <c r="G1993" t="s">
        <v>57</v>
      </c>
      <c r="H1993" s="1" t="s">
        <v>69</v>
      </c>
      <c r="I1993">
        <f>-22444/4780430/1</f>
        <v>-0.004694975138219783</v>
      </c>
      <c r="J1993" t="s">
        <v>1137</v>
      </c>
      <c r="K1993" t="s">
        <v>1138</v>
      </c>
      <c r="L1993" t="s">
        <v>1139</v>
      </c>
      <c r="N1993" t="s">
        <v>58</v>
      </c>
    </row>
    <row r="1994" spans="1:14" ht="15">
      <c r="A1994" s="4">
        <v>201401</v>
      </c>
      <c r="B1994" t="s">
        <v>1136</v>
      </c>
      <c r="C1994" s="5">
        <v>6521560</v>
      </c>
      <c r="D1994" s="2" t="s">
        <v>1141</v>
      </c>
      <c r="E1994" s="2" t="s">
        <v>1142</v>
      </c>
      <c r="F1994" s="3">
        <v>6.06</v>
      </c>
      <c r="G1994" t="s">
        <v>1148</v>
      </c>
      <c r="H1994" s="1" t="s">
        <v>69</v>
      </c>
      <c r="I1994" t="e">
        <f>-freight</f>
        <v>#NAME?</v>
      </c>
      <c r="J1994" t="s">
        <v>1137</v>
      </c>
      <c r="K1994" t="s">
        <v>1138</v>
      </c>
      <c r="L1994" t="s">
        <v>1139</v>
      </c>
      <c r="N1994" t="s">
        <v>1150</v>
      </c>
    </row>
    <row r="1995" spans="1:14" ht="15">
      <c r="A1995" s="4">
        <v>201401</v>
      </c>
      <c r="B1995" t="s">
        <v>1136</v>
      </c>
      <c r="C1995" s="5">
        <v>6521560</v>
      </c>
      <c r="D1995" s="2" t="s">
        <v>1141</v>
      </c>
      <c r="E1995" s="2" t="s">
        <v>1142</v>
      </c>
      <c r="F1995" s="3">
        <v>14.41</v>
      </c>
      <c r="G1995" t="s">
        <v>1148</v>
      </c>
      <c r="H1995" s="1" t="s">
        <v>69</v>
      </c>
      <c r="I1995" t="e">
        <f>-freight</f>
        <v>#NAME?</v>
      </c>
      <c r="J1995" t="s">
        <v>1137</v>
      </c>
      <c r="K1995" t="s">
        <v>1138</v>
      </c>
      <c r="L1995" t="s">
        <v>1139</v>
      </c>
      <c r="N1995" t="s">
        <v>1150</v>
      </c>
    </row>
    <row r="1996" spans="1:14" ht="15">
      <c r="A1996" s="4">
        <v>201402</v>
      </c>
      <c r="B1996" t="s">
        <v>1136</v>
      </c>
      <c r="C1996" s="5">
        <v>6521560</v>
      </c>
      <c r="D1996" s="2" t="s">
        <v>1141</v>
      </c>
      <c r="E1996" s="2" t="s">
        <v>1142</v>
      </c>
      <c r="F1996" s="3">
        <v>7.34</v>
      </c>
      <c r="G1996" t="s">
        <v>57</v>
      </c>
      <c r="H1996" s="1" t="s">
        <v>69</v>
      </c>
      <c r="I1996">
        <f>-55172/129309/1</f>
        <v>-0.4266679040128684</v>
      </c>
      <c r="J1996" t="s">
        <v>1137</v>
      </c>
      <c r="K1996" t="s">
        <v>1138</v>
      </c>
      <c r="L1996" t="s">
        <v>1139</v>
      </c>
      <c r="N1996" t="s">
        <v>58</v>
      </c>
    </row>
    <row r="1997" spans="1:12" ht="15">
      <c r="A1997" s="4">
        <v>201402</v>
      </c>
      <c r="B1997" t="s">
        <v>1136</v>
      </c>
      <c r="C1997" s="5">
        <v>6521560</v>
      </c>
      <c r="D1997" s="2" t="s">
        <v>1141</v>
      </c>
      <c r="E1997" s="2" t="s">
        <v>1142</v>
      </c>
      <c r="F1997" s="3">
        <v>122.29</v>
      </c>
      <c r="G1997" t="s">
        <v>65</v>
      </c>
      <c r="H1997" s="1" t="s">
        <v>69</v>
      </c>
      <c r="I1997" t="e">
        <f>-freight</f>
        <v>#NAME?</v>
      </c>
      <c r="J1997" t="s">
        <v>1137</v>
      </c>
      <c r="K1997" t="s">
        <v>1138</v>
      </c>
      <c r="L1997" t="s">
        <v>1139</v>
      </c>
    </row>
    <row r="1998" spans="1:14" ht="15">
      <c r="A1998" s="4">
        <v>201404</v>
      </c>
      <c r="B1998" t="s">
        <v>1136</v>
      </c>
      <c r="C1998" s="5">
        <v>6521560</v>
      </c>
      <c r="D1998" s="2" t="s">
        <v>1141</v>
      </c>
      <c r="E1998" s="2" t="s">
        <v>1142</v>
      </c>
      <c r="F1998" s="3">
        <v>27</v>
      </c>
      <c r="G1998" t="s">
        <v>57</v>
      </c>
      <c r="H1998" s="1" t="s">
        <v>69</v>
      </c>
      <c r="I1998">
        <f>-22444/4776009/1</f>
        <v>-0.004699321127744943</v>
      </c>
      <c r="J1998" t="s">
        <v>1137</v>
      </c>
      <c r="K1998" t="s">
        <v>1138</v>
      </c>
      <c r="L1998" t="s">
        <v>1139</v>
      </c>
      <c r="N1998" t="s">
        <v>58</v>
      </c>
    </row>
    <row r="1999" spans="1:14" ht="15">
      <c r="A1999" s="4">
        <v>201404</v>
      </c>
      <c r="B1999" t="s">
        <v>1136</v>
      </c>
      <c r="C1999" s="5">
        <v>6521560</v>
      </c>
      <c r="D1999" s="2" t="s">
        <v>1141</v>
      </c>
      <c r="E1999" s="2" t="s">
        <v>1142</v>
      </c>
      <c r="F1999" s="3">
        <v>450</v>
      </c>
      <c r="G1999" t="s">
        <v>1148</v>
      </c>
      <c r="H1999" s="1" t="s">
        <v>69</v>
      </c>
      <c r="I1999" t="e">
        <f>-freight</f>
        <v>#NAME?</v>
      </c>
      <c r="J1999" t="s">
        <v>1137</v>
      </c>
      <c r="K1999" t="s">
        <v>1138</v>
      </c>
      <c r="L1999" t="s">
        <v>1139</v>
      </c>
      <c r="N1999" t="s">
        <v>1150</v>
      </c>
    </row>
    <row r="2000" spans="1:14" ht="15">
      <c r="A2000" s="4">
        <v>201401</v>
      </c>
      <c r="B2000" t="s">
        <v>1136</v>
      </c>
      <c r="C2000" s="5">
        <v>6522371</v>
      </c>
      <c r="D2000" s="2" t="s">
        <v>452</v>
      </c>
      <c r="E2000" s="2" t="s">
        <v>15</v>
      </c>
      <c r="F2000" s="3">
        <v>596.24</v>
      </c>
      <c r="G2000" t="s">
        <v>57</v>
      </c>
      <c r="H2000" s="1" t="s">
        <v>44</v>
      </c>
      <c r="I2000">
        <f>-53919/95073452/1</f>
        <v>-0.0005671299281317775</v>
      </c>
      <c r="J2000" t="s">
        <v>1137</v>
      </c>
      <c r="K2000" t="s">
        <v>1138</v>
      </c>
      <c r="L2000" t="s">
        <v>1139</v>
      </c>
      <c r="N2000" t="s">
        <v>58</v>
      </c>
    </row>
    <row r="2001" spans="1:13" ht="15">
      <c r="A2001" s="4">
        <v>201401</v>
      </c>
      <c r="B2001" t="s">
        <v>1136</v>
      </c>
      <c r="C2001" s="5">
        <v>6522371</v>
      </c>
      <c r="D2001" s="2" t="s">
        <v>452</v>
      </c>
      <c r="E2001" s="2" t="s">
        <v>15</v>
      </c>
      <c r="F2001" s="3">
        <v>9937.26</v>
      </c>
      <c r="G2001" t="s">
        <v>446</v>
      </c>
      <c r="H2001" s="1" t="s">
        <v>44</v>
      </c>
      <c r="I2001" t="e">
        <f>-provide TA FOR SSC inspections and troubleshooting.</f>
        <v>#NAME?</v>
      </c>
      <c r="J2001" t="s">
        <v>1137</v>
      </c>
      <c r="K2001" t="s">
        <v>1138</v>
      </c>
      <c r="L2001" t="s">
        <v>1139</v>
      </c>
      <c r="M2001">
        <v>895620</v>
      </c>
    </row>
    <row r="2002" spans="1:13" ht="15">
      <c r="A2002" s="4">
        <v>201402</v>
      </c>
      <c r="B2002" t="s">
        <v>1136</v>
      </c>
      <c r="C2002" s="5">
        <v>6522371</v>
      </c>
      <c r="D2002" s="2" t="s">
        <v>452</v>
      </c>
      <c r="E2002" s="2" t="s">
        <v>15</v>
      </c>
      <c r="F2002" s="3">
        <v>5521</v>
      </c>
      <c r="G2002" t="s">
        <v>758</v>
      </c>
      <c r="H2002" s="1" t="s">
        <v>44</v>
      </c>
      <c r="I2002" t="s">
        <v>1157</v>
      </c>
      <c r="J2002" t="s">
        <v>1137</v>
      </c>
      <c r="K2002" t="s">
        <v>1138</v>
      </c>
      <c r="L2002" t="s">
        <v>1139</v>
      </c>
      <c r="M2002">
        <v>897779</v>
      </c>
    </row>
    <row r="2003" spans="1:13" ht="15">
      <c r="A2003" s="4">
        <v>201403</v>
      </c>
      <c r="B2003" t="s">
        <v>1136</v>
      </c>
      <c r="C2003" s="5">
        <v>6522371</v>
      </c>
      <c r="D2003" s="2" t="s">
        <v>452</v>
      </c>
      <c r="E2003" s="2" t="s">
        <v>15</v>
      </c>
      <c r="F2003" s="3">
        <v>20.45</v>
      </c>
      <c r="G2003" t="s">
        <v>446</v>
      </c>
      <c r="H2003" s="1" t="s">
        <v>60</v>
      </c>
      <c r="I2003" t="s">
        <v>1158</v>
      </c>
      <c r="J2003" t="s">
        <v>1137</v>
      </c>
      <c r="K2003" t="s">
        <v>1138</v>
      </c>
      <c r="L2003" t="s">
        <v>1139</v>
      </c>
      <c r="M2003">
        <v>898036</v>
      </c>
    </row>
    <row r="2004" spans="1:13" ht="15">
      <c r="A2004" s="4">
        <v>201403</v>
      </c>
      <c r="B2004" t="s">
        <v>1136</v>
      </c>
      <c r="C2004" s="5">
        <v>6522371</v>
      </c>
      <c r="D2004" s="2" t="s">
        <v>452</v>
      </c>
      <c r="E2004" s="2" t="s">
        <v>15</v>
      </c>
      <c r="F2004" s="3">
        <v>36.81</v>
      </c>
      <c r="G2004" t="s">
        <v>446</v>
      </c>
      <c r="H2004" s="1" t="s">
        <v>60</v>
      </c>
      <c r="I2004" t="s">
        <v>1159</v>
      </c>
      <c r="J2004" t="s">
        <v>1137</v>
      </c>
      <c r="K2004" t="s">
        <v>1138</v>
      </c>
      <c r="L2004" t="s">
        <v>1139</v>
      </c>
      <c r="M2004">
        <v>898036</v>
      </c>
    </row>
    <row r="2005" spans="1:13" ht="15">
      <c r="A2005" s="4">
        <v>201403</v>
      </c>
      <c r="B2005" t="s">
        <v>1136</v>
      </c>
      <c r="C2005" s="5">
        <v>6522371</v>
      </c>
      <c r="D2005" s="2" t="s">
        <v>452</v>
      </c>
      <c r="E2005" s="2" t="s">
        <v>15</v>
      </c>
      <c r="F2005" s="3">
        <v>40.9</v>
      </c>
      <c r="G2005" t="s">
        <v>446</v>
      </c>
      <c r="H2005" s="1" t="s">
        <v>60</v>
      </c>
      <c r="I2005" t="s">
        <v>1160</v>
      </c>
      <c r="J2005" t="s">
        <v>1137</v>
      </c>
      <c r="K2005" t="s">
        <v>1138</v>
      </c>
      <c r="L2005" t="s">
        <v>1139</v>
      </c>
      <c r="M2005">
        <v>898036</v>
      </c>
    </row>
    <row r="2006" spans="1:13" ht="15">
      <c r="A2006" s="4">
        <v>201403</v>
      </c>
      <c r="B2006" t="s">
        <v>1136</v>
      </c>
      <c r="C2006" s="5">
        <v>6522371</v>
      </c>
      <c r="D2006" s="2" t="s">
        <v>452</v>
      </c>
      <c r="E2006" s="2" t="s">
        <v>15</v>
      </c>
      <c r="F2006" s="3">
        <v>44.1</v>
      </c>
      <c r="G2006" t="s">
        <v>446</v>
      </c>
      <c r="H2006" s="1" t="s">
        <v>60</v>
      </c>
      <c r="I2006" t="s">
        <v>1161</v>
      </c>
      <c r="J2006" t="s">
        <v>1137</v>
      </c>
      <c r="K2006" t="s">
        <v>1138</v>
      </c>
      <c r="L2006" t="s">
        <v>1139</v>
      </c>
      <c r="M2006">
        <v>898036</v>
      </c>
    </row>
    <row r="2007" spans="1:13" ht="15">
      <c r="A2007" s="4">
        <v>201403</v>
      </c>
      <c r="B2007" t="s">
        <v>1136</v>
      </c>
      <c r="C2007" s="5">
        <v>6522371</v>
      </c>
      <c r="D2007" s="2" t="s">
        <v>452</v>
      </c>
      <c r="E2007" s="2" t="s">
        <v>15</v>
      </c>
      <c r="F2007" s="3">
        <v>44.1</v>
      </c>
      <c r="G2007" t="s">
        <v>446</v>
      </c>
      <c r="H2007" s="1" t="s">
        <v>60</v>
      </c>
      <c r="I2007" t="s">
        <v>1162</v>
      </c>
      <c r="J2007" t="s">
        <v>1137</v>
      </c>
      <c r="K2007" t="s">
        <v>1138</v>
      </c>
      <c r="L2007" t="s">
        <v>1139</v>
      </c>
      <c r="M2007">
        <v>898036</v>
      </c>
    </row>
    <row r="2008" spans="1:13" ht="15">
      <c r="A2008" s="4">
        <v>201403</v>
      </c>
      <c r="B2008" t="s">
        <v>1136</v>
      </c>
      <c r="C2008" s="5">
        <v>6522371</v>
      </c>
      <c r="D2008" s="2" t="s">
        <v>452</v>
      </c>
      <c r="E2008" s="2" t="s">
        <v>15</v>
      </c>
      <c r="F2008" s="3">
        <v>66.15</v>
      </c>
      <c r="G2008" t="s">
        <v>446</v>
      </c>
      <c r="H2008" s="1" t="s">
        <v>60</v>
      </c>
      <c r="I2008" t="s">
        <v>1163</v>
      </c>
      <c r="J2008" t="s">
        <v>1137</v>
      </c>
      <c r="K2008" t="s">
        <v>1138</v>
      </c>
      <c r="L2008" t="s">
        <v>1139</v>
      </c>
      <c r="M2008">
        <v>898036</v>
      </c>
    </row>
    <row r="2009" spans="1:13" ht="15">
      <c r="A2009" s="4">
        <v>201403</v>
      </c>
      <c r="B2009" t="s">
        <v>1136</v>
      </c>
      <c r="C2009" s="5">
        <v>6522371</v>
      </c>
      <c r="D2009" s="2" t="s">
        <v>452</v>
      </c>
      <c r="E2009" s="2" t="s">
        <v>15</v>
      </c>
      <c r="F2009" s="3">
        <v>81.8</v>
      </c>
      <c r="G2009" t="s">
        <v>446</v>
      </c>
      <c r="H2009" s="1" t="s">
        <v>60</v>
      </c>
      <c r="I2009" t="s">
        <v>1164</v>
      </c>
      <c r="J2009" t="s">
        <v>1137</v>
      </c>
      <c r="K2009" t="s">
        <v>1138</v>
      </c>
      <c r="L2009" t="s">
        <v>1139</v>
      </c>
      <c r="M2009">
        <v>898036</v>
      </c>
    </row>
    <row r="2010" spans="1:14" ht="15">
      <c r="A2010" s="4">
        <v>201403</v>
      </c>
      <c r="B2010" t="s">
        <v>1136</v>
      </c>
      <c r="C2010" s="5">
        <v>6522371</v>
      </c>
      <c r="D2010" s="2" t="s">
        <v>452</v>
      </c>
      <c r="E2010" s="2" t="s">
        <v>15</v>
      </c>
      <c r="F2010" s="3">
        <v>89.45</v>
      </c>
      <c r="G2010" t="s">
        <v>57</v>
      </c>
      <c r="H2010" s="1" t="s">
        <v>60</v>
      </c>
      <c r="I2010">
        <f>-53919/95080204/1</f>
        <v>-0.0005670896541197998</v>
      </c>
      <c r="J2010" t="s">
        <v>1137</v>
      </c>
      <c r="K2010" t="s">
        <v>1138</v>
      </c>
      <c r="L2010" t="s">
        <v>1139</v>
      </c>
      <c r="N2010" t="s">
        <v>58</v>
      </c>
    </row>
    <row r="2011" spans="1:13" ht="15">
      <c r="A2011" s="4">
        <v>201403</v>
      </c>
      <c r="B2011" t="s">
        <v>1136</v>
      </c>
      <c r="C2011" s="5">
        <v>6522371</v>
      </c>
      <c r="D2011" s="2" t="s">
        <v>452</v>
      </c>
      <c r="E2011" s="2" t="s">
        <v>15</v>
      </c>
      <c r="F2011" s="3">
        <v>491.4</v>
      </c>
      <c r="G2011" t="s">
        <v>446</v>
      </c>
      <c r="H2011" s="1" t="s">
        <v>60</v>
      </c>
      <c r="I2011" t="s">
        <v>1165</v>
      </c>
      <c r="J2011" t="s">
        <v>1137</v>
      </c>
      <c r="K2011" t="s">
        <v>1138</v>
      </c>
      <c r="L2011" t="s">
        <v>1139</v>
      </c>
      <c r="M2011">
        <v>898036</v>
      </c>
    </row>
    <row r="2012" spans="1:13" ht="15">
      <c r="A2012" s="4">
        <v>201403</v>
      </c>
      <c r="B2012" t="s">
        <v>1136</v>
      </c>
      <c r="C2012" s="5">
        <v>6522371</v>
      </c>
      <c r="D2012" s="2" t="s">
        <v>452</v>
      </c>
      <c r="E2012" s="2" t="s">
        <v>15</v>
      </c>
      <c r="F2012" s="3">
        <v>665</v>
      </c>
      <c r="G2012" t="s">
        <v>446</v>
      </c>
      <c r="H2012" s="1" t="s">
        <v>60</v>
      </c>
      <c r="I2012" t="s">
        <v>1166</v>
      </c>
      <c r="J2012" t="s">
        <v>1137</v>
      </c>
      <c r="K2012" t="s">
        <v>1138</v>
      </c>
      <c r="L2012" t="s">
        <v>1139</v>
      </c>
      <c r="M2012">
        <v>898036</v>
      </c>
    </row>
    <row r="2013" spans="1:13" ht="15">
      <c r="A2013" s="4">
        <v>201402</v>
      </c>
      <c r="B2013" t="s">
        <v>1136</v>
      </c>
      <c r="C2013" s="5">
        <v>6534352</v>
      </c>
      <c r="D2013" s="2" t="s">
        <v>1168</v>
      </c>
      <c r="E2013" s="2" t="s">
        <v>15</v>
      </c>
      <c r="F2013" s="3">
        <v>32.74</v>
      </c>
      <c r="G2013" t="s">
        <v>96</v>
      </c>
      <c r="H2013" s="1" t="s">
        <v>60</v>
      </c>
      <c r="I2013" t="s">
        <v>1167</v>
      </c>
      <c r="J2013" t="s">
        <v>1137</v>
      </c>
      <c r="K2013" t="s">
        <v>1138</v>
      </c>
      <c r="L2013" t="s">
        <v>1139</v>
      </c>
      <c r="M2013">
        <v>898598</v>
      </c>
    </row>
    <row r="2014" spans="1:14" ht="15">
      <c r="A2014" s="4">
        <v>201402</v>
      </c>
      <c r="B2014" t="s">
        <v>1136</v>
      </c>
      <c r="C2014" s="5">
        <v>6534352</v>
      </c>
      <c r="D2014" s="2" t="s">
        <v>1168</v>
      </c>
      <c r="E2014" s="2" t="s">
        <v>15</v>
      </c>
      <c r="F2014" s="3">
        <v>56.94</v>
      </c>
      <c r="G2014" t="s">
        <v>57</v>
      </c>
      <c r="H2014" s="1" t="s">
        <v>60</v>
      </c>
      <c r="I2014" t="e">
        <f>-16294/KY67757066/1</f>
        <v>#NAME?</v>
      </c>
      <c r="J2014" t="s">
        <v>1137</v>
      </c>
      <c r="K2014" t="s">
        <v>1138</v>
      </c>
      <c r="L2014" t="s">
        <v>1139</v>
      </c>
      <c r="N2014" t="s">
        <v>58</v>
      </c>
    </row>
    <row r="2015" spans="1:13" ht="15">
      <c r="A2015" s="4">
        <v>201402</v>
      </c>
      <c r="B2015" t="s">
        <v>1136</v>
      </c>
      <c r="C2015" s="5">
        <v>6534352</v>
      </c>
      <c r="D2015" s="2" t="s">
        <v>1168</v>
      </c>
      <c r="E2015" s="2" t="s">
        <v>15</v>
      </c>
      <c r="F2015" s="3">
        <v>916.25</v>
      </c>
      <c r="G2015" t="s">
        <v>96</v>
      </c>
      <c r="H2015" s="1" t="s">
        <v>60</v>
      </c>
      <c r="I2015" t="s">
        <v>1169</v>
      </c>
      <c r="J2015" t="s">
        <v>1137</v>
      </c>
      <c r="K2015" t="s">
        <v>1138</v>
      </c>
      <c r="L2015" t="s">
        <v>1139</v>
      </c>
      <c r="M2015">
        <v>898598</v>
      </c>
    </row>
    <row r="2016" spans="1:13" ht="15">
      <c r="A2016" s="4">
        <v>201403</v>
      </c>
      <c r="B2016" t="s">
        <v>1136</v>
      </c>
      <c r="C2016" s="5">
        <v>6534352</v>
      </c>
      <c r="D2016" s="2" t="s">
        <v>1168</v>
      </c>
      <c r="E2016" s="2" t="s">
        <v>15</v>
      </c>
      <c r="F2016" s="3">
        <v>-9.16</v>
      </c>
      <c r="G2016" t="s">
        <v>96</v>
      </c>
      <c r="H2016" s="1" t="s">
        <v>60</v>
      </c>
      <c r="I2016" t="s">
        <v>1169</v>
      </c>
      <c r="J2016" t="s">
        <v>1137</v>
      </c>
      <c r="K2016" t="s">
        <v>1138</v>
      </c>
      <c r="L2016" t="s">
        <v>1139</v>
      </c>
      <c r="M2016">
        <v>898598</v>
      </c>
    </row>
    <row r="2017" spans="1:13" ht="15">
      <c r="A2017" s="4">
        <v>201403</v>
      </c>
      <c r="B2017" t="s">
        <v>1136</v>
      </c>
      <c r="C2017" s="5">
        <v>6534352</v>
      </c>
      <c r="D2017" s="2" t="s">
        <v>1168</v>
      </c>
      <c r="E2017" s="2" t="s">
        <v>15</v>
      </c>
      <c r="F2017" s="3">
        <v>-0.33</v>
      </c>
      <c r="G2017" t="s">
        <v>96</v>
      </c>
      <c r="H2017" s="1" t="s">
        <v>60</v>
      </c>
      <c r="I2017" t="s">
        <v>1167</v>
      </c>
      <c r="J2017" t="s">
        <v>1137</v>
      </c>
      <c r="K2017" t="s">
        <v>1138</v>
      </c>
      <c r="L2017" t="s">
        <v>1139</v>
      </c>
      <c r="M2017">
        <v>898598</v>
      </c>
    </row>
    <row r="2018" spans="1:14" ht="15">
      <c r="A2018" s="4">
        <v>201402</v>
      </c>
      <c r="B2018" t="s">
        <v>1136</v>
      </c>
      <c r="C2018" s="5">
        <v>6534352</v>
      </c>
      <c r="D2018" s="2" t="s">
        <v>1168</v>
      </c>
      <c r="E2018" s="2" t="s">
        <v>15</v>
      </c>
      <c r="F2018" s="3">
        <v>4.8</v>
      </c>
      <c r="G2018" t="s">
        <v>57</v>
      </c>
      <c r="H2018" s="1" t="s">
        <v>69</v>
      </c>
      <c r="I2018" t="e">
        <f>-16294/KY67757066/1</f>
        <v>#NAME?</v>
      </c>
      <c r="J2018" t="s">
        <v>1137</v>
      </c>
      <c r="K2018" t="s">
        <v>1138</v>
      </c>
      <c r="L2018" t="s">
        <v>1139</v>
      </c>
      <c r="N2018" t="s">
        <v>58</v>
      </c>
    </row>
    <row r="2019" spans="1:12" ht="15">
      <c r="A2019" s="4">
        <v>201402</v>
      </c>
      <c r="B2019" t="s">
        <v>1136</v>
      </c>
      <c r="C2019" s="5">
        <v>6534352</v>
      </c>
      <c r="D2019" s="2" t="s">
        <v>1168</v>
      </c>
      <c r="E2019" s="2" t="s">
        <v>15</v>
      </c>
      <c r="F2019" s="3">
        <v>80</v>
      </c>
      <c r="G2019" t="s">
        <v>96</v>
      </c>
      <c r="H2019" s="1" t="s">
        <v>69</v>
      </c>
      <c r="I2019" t="e">
        <f>-freight</f>
        <v>#NAME?</v>
      </c>
      <c r="J2019" t="s">
        <v>1137</v>
      </c>
      <c r="K2019" t="s">
        <v>1138</v>
      </c>
      <c r="L2019" t="s">
        <v>1139</v>
      </c>
    </row>
    <row r="2020" spans="1:12" ht="15">
      <c r="A2020" s="4">
        <v>201401</v>
      </c>
      <c r="B2020" t="s">
        <v>1136</v>
      </c>
      <c r="C2020" s="5">
        <v>6536647</v>
      </c>
      <c r="D2020" s="2" t="s">
        <v>857</v>
      </c>
      <c r="E2020" s="2" t="s">
        <v>15</v>
      </c>
      <c r="F2020" s="3">
        <v>0.37</v>
      </c>
      <c r="H2020" s="1" t="s">
        <v>66</v>
      </c>
      <c r="I2020" t="s">
        <v>67</v>
      </c>
      <c r="J2020" t="s">
        <v>1137</v>
      </c>
      <c r="K2020" t="s">
        <v>1138</v>
      </c>
      <c r="L2020" t="s">
        <v>1139</v>
      </c>
    </row>
    <row r="2021" spans="1:13" ht="15">
      <c r="A2021" s="4">
        <v>201403</v>
      </c>
      <c r="B2021" t="s">
        <v>1136</v>
      </c>
      <c r="C2021" s="5">
        <v>6545135</v>
      </c>
      <c r="D2021" s="2" t="s">
        <v>1170</v>
      </c>
      <c r="E2021" s="2" t="s">
        <v>15</v>
      </c>
      <c r="F2021" s="3">
        <v>25778</v>
      </c>
      <c r="G2021" t="s">
        <v>739</v>
      </c>
      <c r="H2021" s="1" t="s">
        <v>44</v>
      </c>
      <c r="I2021" t="e">
        <f>-Install access doors IN the Submerged Scraper Conveyor</f>
        <v>#NAME?</v>
      </c>
      <c r="J2021" t="s">
        <v>1137</v>
      </c>
      <c r="K2021" t="s">
        <v>1138</v>
      </c>
      <c r="L2021" t="s">
        <v>1139</v>
      </c>
      <c r="M2021">
        <v>899953</v>
      </c>
    </row>
    <row r="2022" spans="1:12" ht="15">
      <c r="A2022" s="4">
        <v>201405</v>
      </c>
      <c r="B2022" t="s">
        <v>1136</v>
      </c>
      <c r="C2022" s="5">
        <v>6554752</v>
      </c>
      <c r="D2022" s="2" t="s">
        <v>1171</v>
      </c>
      <c r="E2022" s="2" t="s">
        <v>261</v>
      </c>
      <c r="F2022" s="3">
        <v>0.94</v>
      </c>
      <c r="H2022" s="1" t="s">
        <v>66</v>
      </c>
      <c r="I2022" t="s">
        <v>67</v>
      </c>
      <c r="J2022" t="s">
        <v>1137</v>
      </c>
      <c r="K2022" t="s">
        <v>1138</v>
      </c>
      <c r="L2022" t="s">
        <v>1139</v>
      </c>
    </row>
    <row r="2023" spans="1:12" ht="15">
      <c r="A2023" s="4">
        <v>201406</v>
      </c>
      <c r="B2023" t="s">
        <v>1136</v>
      </c>
      <c r="C2023" s="5">
        <v>6554752</v>
      </c>
      <c r="D2023" s="2" t="s">
        <v>1171</v>
      </c>
      <c r="E2023" s="2" t="s">
        <v>261</v>
      </c>
      <c r="F2023" s="3">
        <v>2.28</v>
      </c>
      <c r="H2023" s="1" t="s">
        <v>66</v>
      </c>
      <c r="I2023" t="s">
        <v>67</v>
      </c>
      <c r="J2023" t="s">
        <v>1137</v>
      </c>
      <c r="K2023" t="s">
        <v>1138</v>
      </c>
      <c r="L2023" t="s">
        <v>1139</v>
      </c>
    </row>
    <row r="2024" spans="1:12" ht="15">
      <c r="A2024" s="4">
        <v>201407</v>
      </c>
      <c r="B2024" t="s">
        <v>1136</v>
      </c>
      <c r="C2024" s="5">
        <v>6554752</v>
      </c>
      <c r="D2024" s="2" t="s">
        <v>1171</v>
      </c>
      <c r="E2024" s="2" t="s">
        <v>261</v>
      </c>
      <c r="F2024" s="3">
        <v>0.52</v>
      </c>
      <c r="H2024" s="1" t="s">
        <v>66</v>
      </c>
      <c r="I2024" t="s">
        <v>67</v>
      </c>
      <c r="J2024" t="s">
        <v>1137</v>
      </c>
      <c r="K2024" t="s">
        <v>1138</v>
      </c>
      <c r="L2024" t="s">
        <v>1139</v>
      </c>
    </row>
    <row r="2025" spans="1:14" ht="15">
      <c r="A2025" s="4">
        <v>201406</v>
      </c>
      <c r="B2025" t="s">
        <v>1136</v>
      </c>
      <c r="C2025" s="5">
        <v>6554752</v>
      </c>
      <c r="D2025" s="2" t="s">
        <v>1171</v>
      </c>
      <c r="E2025" s="2" t="s">
        <v>261</v>
      </c>
      <c r="F2025" s="3">
        <v>71.9</v>
      </c>
      <c r="G2025" t="s">
        <v>57</v>
      </c>
      <c r="H2025" s="1" t="s">
        <v>755</v>
      </c>
      <c r="I2025">
        <f>-56386/119177524001/1</f>
        <v>-4.731261240125015E-07</v>
      </c>
      <c r="J2025" t="s">
        <v>1137</v>
      </c>
      <c r="K2025" t="s">
        <v>1138</v>
      </c>
      <c r="L2025" t="s">
        <v>1139</v>
      </c>
      <c r="N2025" t="s">
        <v>58</v>
      </c>
    </row>
    <row r="2026" spans="1:13" ht="15">
      <c r="A2026" s="4">
        <v>201406</v>
      </c>
      <c r="B2026" t="s">
        <v>1136</v>
      </c>
      <c r="C2026" s="5">
        <v>6554752</v>
      </c>
      <c r="D2026" s="2" t="s">
        <v>1171</v>
      </c>
      <c r="E2026" s="2" t="s">
        <v>261</v>
      </c>
      <c r="F2026" s="3">
        <v>1198.32</v>
      </c>
      <c r="G2026" t="s">
        <v>1172</v>
      </c>
      <c r="H2026" s="1" t="s">
        <v>755</v>
      </c>
      <c r="I2026" t="s">
        <v>1173</v>
      </c>
      <c r="J2026" t="s">
        <v>1137</v>
      </c>
      <c r="K2026" t="s">
        <v>1138</v>
      </c>
      <c r="L2026" t="s">
        <v>1139</v>
      </c>
      <c r="M2026">
        <v>907592</v>
      </c>
    </row>
    <row r="2027" spans="1:12" ht="15">
      <c r="A2027" s="4">
        <v>201405</v>
      </c>
      <c r="B2027" t="s">
        <v>1136</v>
      </c>
      <c r="C2027" s="5">
        <v>6554752</v>
      </c>
      <c r="D2027" s="2" t="s">
        <v>1171</v>
      </c>
      <c r="E2027" s="2" t="s">
        <v>261</v>
      </c>
      <c r="F2027" s="3">
        <v>0</v>
      </c>
      <c r="H2027" s="1" t="s">
        <v>68</v>
      </c>
      <c r="J2027" t="s">
        <v>1137</v>
      </c>
      <c r="K2027" t="s">
        <v>1138</v>
      </c>
      <c r="L2027" t="s">
        <v>1139</v>
      </c>
    </row>
    <row r="2028" spans="1:12" ht="15">
      <c r="A2028" s="4">
        <v>201405</v>
      </c>
      <c r="B2028" t="s">
        <v>1136</v>
      </c>
      <c r="C2028" s="5">
        <v>6554752</v>
      </c>
      <c r="D2028" s="2" t="s">
        <v>1171</v>
      </c>
      <c r="E2028" s="2" t="s">
        <v>261</v>
      </c>
      <c r="F2028" s="3">
        <v>6</v>
      </c>
      <c r="H2028" s="1" t="s">
        <v>68</v>
      </c>
      <c r="J2028" t="s">
        <v>1137</v>
      </c>
      <c r="K2028" t="s">
        <v>1138</v>
      </c>
      <c r="L2028" t="s">
        <v>1139</v>
      </c>
    </row>
    <row r="2029" spans="1:12" ht="15">
      <c r="A2029" s="4">
        <v>201410</v>
      </c>
      <c r="B2029" t="s">
        <v>1136</v>
      </c>
      <c r="C2029" s="5">
        <v>6612884</v>
      </c>
      <c r="D2029" s="2" t="s">
        <v>1175</v>
      </c>
      <c r="E2029" s="2" t="s">
        <v>1176</v>
      </c>
      <c r="F2029" s="3">
        <v>11.31</v>
      </c>
      <c r="H2029" s="1" t="s">
        <v>14</v>
      </c>
      <c r="I2029" t="s">
        <v>1174</v>
      </c>
      <c r="J2029" t="s">
        <v>1137</v>
      </c>
      <c r="K2029" t="s">
        <v>1138</v>
      </c>
      <c r="L2029" t="s">
        <v>1139</v>
      </c>
    </row>
    <row r="2030" spans="1:12" ht="15">
      <c r="A2030" s="4">
        <v>201410</v>
      </c>
      <c r="B2030" t="s">
        <v>1136</v>
      </c>
      <c r="C2030" s="5">
        <v>6612884</v>
      </c>
      <c r="D2030" s="2" t="s">
        <v>1175</v>
      </c>
      <c r="E2030" s="2" t="s">
        <v>1176</v>
      </c>
      <c r="F2030" s="3">
        <v>11.5</v>
      </c>
      <c r="H2030" s="1" t="s">
        <v>14</v>
      </c>
      <c r="I2030" t="s">
        <v>394</v>
      </c>
      <c r="J2030" t="s">
        <v>1137</v>
      </c>
      <c r="K2030" t="s">
        <v>1138</v>
      </c>
      <c r="L2030" t="s">
        <v>1139</v>
      </c>
    </row>
    <row r="2031" spans="1:12" ht="15">
      <c r="A2031" s="4">
        <v>201410</v>
      </c>
      <c r="B2031" t="s">
        <v>1136</v>
      </c>
      <c r="C2031" s="5">
        <v>6612884</v>
      </c>
      <c r="D2031" s="2" t="s">
        <v>1175</v>
      </c>
      <c r="E2031" s="2" t="s">
        <v>1176</v>
      </c>
      <c r="F2031" s="3">
        <v>94.47</v>
      </c>
      <c r="H2031" s="1" t="s">
        <v>14</v>
      </c>
      <c r="I2031" t="s">
        <v>397</v>
      </c>
      <c r="J2031" t="s">
        <v>1137</v>
      </c>
      <c r="K2031" t="s">
        <v>1138</v>
      </c>
      <c r="L2031" t="s">
        <v>1139</v>
      </c>
    </row>
    <row r="2032" spans="1:12" ht="15">
      <c r="A2032" s="4">
        <v>201410</v>
      </c>
      <c r="B2032" t="s">
        <v>1136</v>
      </c>
      <c r="C2032" s="5">
        <v>6612884</v>
      </c>
      <c r="D2032" s="2" t="s">
        <v>1175</v>
      </c>
      <c r="E2032" s="2" t="s">
        <v>1176</v>
      </c>
      <c r="F2032" s="3">
        <v>8.5</v>
      </c>
      <c r="H2032" s="1" t="s">
        <v>66</v>
      </c>
      <c r="I2032" t="s">
        <v>67</v>
      </c>
      <c r="J2032" t="s">
        <v>1137</v>
      </c>
      <c r="K2032" t="s">
        <v>1138</v>
      </c>
      <c r="L2032" t="s">
        <v>1139</v>
      </c>
    </row>
    <row r="2033" spans="1:12" ht="15">
      <c r="A2033" s="4">
        <v>201410</v>
      </c>
      <c r="B2033" t="s">
        <v>1136</v>
      </c>
      <c r="C2033" s="5">
        <v>6612884</v>
      </c>
      <c r="D2033" s="2" t="s">
        <v>1175</v>
      </c>
      <c r="E2033" s="2" t="s">
        <v>1176</v>
      </c>
      <c r="F2033" s="3">
        <v>0</v>
      </c>
      <c r="H2033" s="1" t="s">
        <v>68</v>
      </c>
      <c r="J2033" t="s">
        <v>1137</v>
      </c>
      <c r="K2033" t="s">
        <v>1138</v>
      </c>
      <c r="L2033" t="s">
        <v>1139</v>
      </c>
    </row>
    <row r="2034" spans="1:12" ht="15">
      <c r="A2034" s="4">
        <v>201410</v>
      </c>
      <c r="B2034" t="s">
        <v>1136</v>
      </c>
      <c r="C2034" s="5">
        <v>6612884</v>
      </c>
      <c r="D2034" s="2" t="s">
        <v>1175</v>
      </c>
      <c r="E2034" s="2" t="s">
        <v>1176</v>
      </c>
      <c r="F2034" s="3">
        <v>0</v>
      </c>
      <c r="H2034" s="1" t="s">
        <v>68</v>
      </c>
      <c r="J2034" t="s">
        <v>1137</v>
      </c>
      <c r="K2034" t="s">
        <v>1138</v>
      </c>
      <c r="L2034" t="s">
        <v>1139</v>
      </c>
    </row>
    <row r="2035" spans="1:12" ht="15">
      <c r="A2035" s="4">
        <v>201410</v>
      </c>
      <c r="B2035" t="s">
        <v>1136</v>
      </c>
      <c r="C2035" s="5">
        <v>6612884</v>
      </c>
      <c r="D2035" s="2" t="s">
        <v>1175</v>
      </c>
      <c r="E2035" s="2" t="s">
        <v>1176</v>
      </c>
      <c r="F2035" s="3">
        <v>0</v>
      </c>
      <c r="H2035" s="1" t="s">
        <v>68</v>
      </c>
      <c r="J2035" t="s">
        <v>1137</v>
      </c>
      <c r="K2035" t="s">
        <v>1138</v>
      </c>
      <c r="L2035" t="s">
        <v>1139</v>
      </c>
    </row>
    <row r="2036" spans="1:12" ht="15">
      <c r="A2036" s="4">
        <v>201410</v>
      </c>
      <c r="B2036" t="s">
        <v>1136</v>
      </c>
      <c r="C2036" s="5">
        <v>6612884</v>
      </c>
      <c r="D2036" s="2" t="s">
        <v>1175</v>
      </c>
      <c r="E2036" s="2" t="s">
        <v>1176</v>
      </c>
      <c r="F2036" s="3">
        <v>24</v>
      </c>
      <c r="H2036" s="1" t="s">
        <v>68</v>
      </c>
      <c r="J2036" t="s">
        <v>1137</v>
      </c>
      <c r="K2036" t="s">
        <v>1138</v>
      </c>
      <c r="L2036" t="s">
        <v>1139</v>
      </c>
    </row>
    <row r="2037" spans="1:12" ht="15">
      <c r="A2037" s="4">
        <v>201412</v>
      </c>
      <c r="B2037" t="s">
        <v>1136</v>
      </c>
      <c r="C2037" s="5">
        <v>6622746</v>
      </c>
      <c r="D2037" s="2" t="s">
        <v>1177</v>
      </c>
      <c r="E2037" s="2" t="s">
        <v>169</v>
      </c>
      <c r="F2037" s="3">
        <v>1.02</v>
      </c>
      <c r="H2037" s="1" t="s">
        <v>66</v>
      </c>
      <c r="I2037" t="s">
        <v>67</v>
      </c>
      <c r="J2037" t="s">
        <v>1137</v>
      </c>
      <c r="K2037" t="s">
        <v>1138</v>
      </c>
      <c r="L2037" t="s">
        <v>1139</v>
      </c>
    </row>
    <row r="2038" spans="1:12" ht="15">
      <c r="A2038" s="4">
        <v>201412</v>
      </c>
      <c r="B2038" t="s">
        <v>1136</v>
      </c>
      <c r="C2038" s="5">
        <v>6625343</v>
      </c>
      <c r="D2038" s="2" t="s">
        <v>1179</v>
      </c>
      <c r="E2038" s="2" t="s">
        <v>169</v>
      </c>
      <c r="F2038" s="3">
        <v>4491.75</v>
      </c>
      <c r="H2038" s="1" t="s">
        <v>14</v>
      </c>
      <c r="I2038" t="s">
        <v>1178</v>
      </c>
      <c r="J2038" t="s">
        <v>1137</v>
      </c>
      <c r="K2038" t="s">
        <v>1138</v>
      </c>
      <c r="L2038" t="s">
        <v>1139</v>
      </c>
    </row>
    <row r="2039" spans="1:12" ht="15">
      <c r="A2039" s="4">
        <v>201412</v>
      </c>
      <c r="B2039" t="s">
        <v>1136</v>
      </c>
      <c r="C2039" s="5">
        <v>6625343</v>
      </c>
      <c r="D2039" s="2" t="s">
        <v>1179</v>
      </c>
      <c r="E2039" s="2" t="s">
        <v>169</v>
      </c>
      <c r="F2039" s="3">
        <v>-1824</v>
      </c>
      <c r="H2039" s="1" t="s">
        <v>43</v>
      </c>
      <c r="I2039" t="s">
        <v>1180</v>
      </c>
      <c r="J2039" t="s">
        <v>1137</v>
      </c>
      <c r="K2039" t="s">
        <v>1138</v>
      </c>
      <c r="L2039" t="s">
        <v>1139</v>
      </c>
    </row>
    <row r="2040" spans="1:12" ht="15">
      <c r="A2040" s="4">
        <v>201401</v>
      </c>
      <c r="B2040" t="s">
        <v>1181</v>
      </c>
      <c r="C2040" s="5">
        <v>6414714</v>
      </c>
      <c r="D2040" s="2" t="s">
        <v>1186</v>
      </c>
      <c r="E2040" s="2" t="s">
        <v>15</v>
      </c>
      <c r="F2040" s="3">
        <v>311.53</v>
      </c>
      <c r="H2040" s="1" t="s">
        <v>14</v>
      </c>
      <c r="I2040" t="s">
        <v>1182</v>
      </c>
      <c r="J2040" t="s">
        <v>1183</v>
      </c>
      <c r="K2040" t="s">
        <v>1184</v>
      </c>
      <c r="L2040" t="s">
        <v>1185</v>
      </c>
    </row>
    <row r="2041" spans="1:13" ht="15">
      <c r="A2041" s="4">
        <v>201403</v>
      </c>
      <c r="B2041" t="s">
        <v>1181</v>
      </c>
      <c r="C2041" s="5">
        <v>6414714</v>
      </c>
      <c r="D2041" s="2" t="s">
        <v>1186</v>
      </c>
      <c r="E2041" s="2" t="s">
        <v>15</v>
      </c>
      <c r="F2041" s="3">
        <v>867</v>
      </c>
      <c r="G2041" t="s">
        <v>79</v>
      </c>
      <c r="H2041" s="1" t="s">
        <v>78</v>
      </c>
      <c r="I2041" t="s">
        <v>1187</v>
      </c>
      <c r="J2041" t="s">
        <v>1183</v>
      </c>
      <c r="K2041" t="s">
        <v>1184</v>
      </c>
      <c r="L2041" t="s">
        <v>1185</v>
      </c>
      <c r="M2041">
        <v>901073</v>
      </c>
    </row>
    <row r="2042" spans="1:13" ht="15">
      <c r="A2042" s="4">
        <v>201403</v>
      </c>
      <c r="B2042" t="s">
        <v>1181</v>
      </c>
      <c r="C2042" s="5">
        <v>6414714</v>
      </c>
      <c r="D2042" s="2" t="s">
        <v>1186</v>
      </c>
      <c r="E2042" s="2" t="s">
        <v>15</v>
      </c>
      <c r="F2042" s="3">
        <v>1355.7</v>
      </c>
      <c r="G2042" t="s">
        <v>79</v>
      </c>
      <c r="H2042" s="1" t="s">
        <v>46</v>
      </c>
      <c r="I2042" t="s">
        <v>1187</v>
      </c>
      <c r="J2042" t="s">
        <v>1183</v>
      </c>
      <c r="K2042" t="s">
        <v>1184</v>
      </c>
      <c r="L2042" t="s">
        <v>1185</v>
      </c>
      <c r="M2042">
        <v>901073</v>
      </c>
    </row>
    <row r="2043" spans="1:12" ht="15">
      <c r="A2043" s="4">
        <v>201405</v>
      </c>
      <c r="B2043" t="s">
        <v>1181</v>
      </c>
      <c r="C2043" s="5">
        <v>6414714</v>
      </c>
      <c r="D2043" s="2" t="s">
        <v>1186</v>
      </c>
      <c r="E2043" s="2" t="s">
        <v>15</v>
      </c>
      <c r="F2043" s="3">
        <v>-772.42</v>
      </c>
      <c r="G2043" t="s">
        <v>1188</v>
      </c>
      <c r="H2043" s="1" t="s">
        <v>60</v>
      </c>
      <c r="I2043" t="e">
        <f>-CORRECT ACCT TMP freight</f>
        <v>#NAME?</v>
      </c>
      <c r="J2043" t="s">
        <v>1183</v>
      </c>
      <c r="K2043" t="s">
        <v>1184</v>
      </c>
      <c r="L2043" t="s">
        <v>1185</v>
      </c>
    </row>
    <row r="2044" spans="1:14" ht="15">
      <c r="A2044" s="4">
        <v>201405</v>
      </c>
      <c r="B2044" t="s">
        <v>1181</v>
      </c>
      <c r="C2044" s="5">
        <v>6414714</v>
      </c>
      <c r="D2044" s="2" t="s">
        <v>1186</v>
      </c>
      <c r="E2044" s="2" t="s">
        <v>15</v>
      </c>
      <c r="F2044" s="3">
        <v>-46.35</v>
      </c>
      <c r="G2044" t="s">
        <v>57</v>
      </c>
      <c r="H2044" s="1" t="s">
        <v>60</v>
      </c>
      <c r="I2044">
        <f>-59846/737632/2</f>
        <v>-0.04056629864214134</v>
      </c>
      <c r="J2044" t="s">
        <v>1183</v>
      </c>
      <c r="K2044" t="s">
        <v>1184</v>
      </c>
      <c r="L2044" t="s">
        <v>1185</v>
      </c>
      <c r="N2044" t="s">
        <v>58</v>
      </c>
    </row>
    <row r="2045" spans="1:13" ht="15">
      <c r="A2045" s="4">
        <v>201405</v>
      </c>
      <c r="B2045" t="s">
        <v>1181</v>
      </c>
      <c r="C2045" s="5">
        <v>6414714</v>
      </c>
      <c r="D2045" s="2" t="s">
        <v>1186</v>
      </c>
      <c r="E2045" s="2" t="s">
        <v>15</v>
      </c>
      <c r="F2045" s="3">
        <v>772.42</v>
      </c>
      <c r="G2045" t="s">
        <v>1188</v>
      </c>
      <c r="H2045" s="1" t="s">
        <v>60</v>
      </c>
      <c r="I2045" t="e">
        <f>-freight FOR Early Shipment and Additional tube shipment.</f>
        <v>#NAME?</v>
      </c>
      <c r="J2045" t="s">
        <v>1183</v>
      </c>
      <c r="K2045" t="s">
        <v>1184</v>
      </c>
      <c r="L2045" t="s">
        <v>1185</v>
      </c>
      <c r="M2045">
        <v>902163</v>
      </c>
    </row>
    <row r="2046" spans="1:14" ht="15">
      <c r="A2046" s="4">
        <v>201405</v>
      </c>
      <c r="B2046" t="s">
        <v>1181</v>
      </c>
      <c r="C2046" s="5">
        <v>6414714</v>
      </c>
      <c r="D2046" s="2" t="s">
        <v>1186</v>
      </c>
      <c r="E2046" s="2" t="s">
        <v>15</v>
      </c>
      <c r="F2046" s="3">
        <v>819.15</v>
      </c>
      <c r="G2046" t="s">
        <v>57</v>
      </c>
      <c r="H2046" s="1" t="s">
        <v>60</v>
      </c>
      <c r="I2046">
        <f>-59846/737632/1</f>
        <v>-0.08113259728428268</v>
      </c>
      <c r="J2046" t="s">
        <v>1183</v>
      </c>
      <c r="K2046" t="s">
        <v>1184</v>
      </c>
      <c r="L2046" t="s">
        <v>1185</v>
      </c>
      <c r="N2046" t="s">
        <v>58</v>
      </c>
    </row>
    <row r="2047" spans="1:13" ht="15">
      <c r="A2047" s="4">
        <v>201405</v>
      </c>
      <c r="B2047" t="s">
        <v>1181</v>
      </c>
      <c r="C2047" s="5">
        <v>6414714</v>
      </c>
      <c r="D2047" s="2" t="s">
        <v>1186</v>
      </c>
      <c r="E2047" s="2" t="s">
        <v>15</v>
      </c>
      <c r="F2047" s="3">
        <v>12880</v>
      </c>
      <c r="G2047" t="s">
        <v>1188</v>
      </c>
      <c r="H2047" s="1" t="s">
        <v>60</v>
      </c>
      <c r="I2047" t="s">
        <v>1189</v>
      </c>
      <c r="J2047" t="s">
        <v>1183</v>
      </c>
      <c r="K2047" t="s">
        <v>1184</v>
      </c>
      <c r="L2047" t="s">
        <v>1185</v>
      </c>
      <c r="M2047">
        <v>902163</v>
      </c>
    </row>
    <row r="2048" spans="1:14" ht="15">
      <c r="A2048" s="4">
        <v>201405</v>
      </c>
      <c r="B2048" t="s">
        <v>1181</v>
      </c>
      <c r="C2048" s="5">
        <v>6414714</v>
      </c>
      <c r="D2048" s="2" t="s">
        <v>1186</v>
      </c>
      <c r="E2048" s="2" t="s">
        <v>15</v>
      </c>
      <c r="F2048" s="3">
        <v>46.35</v>
      </c>
      <c r="G2048" t="s">
        <v>57</v>
      </c>
      <c r="H2048" s="1" t="s">
        <v>69</v>
      </c>
      <c r="I2048">
        <f>-59846/737632/2</f>
        <v>-0.04056629864214134</v>
      </c>
      <c r="J2048" t="s">
        <v>1183</v>
      </c>
      <c r="K2048" t="s">
        <v>1184</v>
      </c>
      <c r="L2048" t="s">
        <v>1185</v>
      </c>
      <c r="N2048" t="s">
        <v>58</v>
      </c>
    </row>
    <row r="2049" spans="1:12" ht="15">
      <c r="A2049" s="4">
        <v>201405</v>
      </c>
      <c r="B2049" t="s">
        <v>1181</v>
      </c>
      <c r="C2049" s="5">
        <v>6414714</v>
      </c>
      <c r="D2049" s="2" t="s">
        <v>1186</v>
      </c>
      <c r="E2049" s="2" t="s">
        <v>15</v>
      </c>
      <c r="F2049" s="3">
        <v>772.42</v>
      </c>
      <c r="G2049" t="s">
        <v>1188</v>
      </c>
      <c r="H2049" s="1" t="s">
        <v>69</v>
      </c>
      <c r="I2049" t="e">
        <f>-CORRECT ACCT TMP freight</f>
        <v>#NAME?</v>
      </c>
      <c r="J2049" t="s">
        <v>1183</v>
      </c>
      <c r="K2049" t="s">
        <v>1184</v>
      </c>
      <c r="L2049" t="s">
        <v>1185</v>
      </c>
    </row>
    <row r="2050" spans="1:14" ht="15">
      <c r="A2050" s="4">
        <v>201402</v>
      </c>
      <c r="B2050" t="s">
        <v>1181</v>
      </c>
      <c r="C2050" s="5">
        <v>6491865</v>
      </c>
      <c r="D2050" s="2" t="s">
        <v>1190</v>
      </c>
      <c r="E2050" s="2" t="s">
        <v>15</v>
      </c>
      <c r="F2050" s="3">
        <v>527.14</v>
      </c>
      <c r="G2050" t="s">
        <v>57</v>
      </c>
      <c r="H2050" s="1" t="s">
        <v>60</v>
      </c>
      <c r="I2050">
        <f>-70098/40725/1</f>
        <v>-1.7212523020257826</v>
      </c>
      <c r="J2050" t="s">
        <v>1183</v>
      </c>
      <c r="K2050" t="s">
        <v>1184</v>
      </c>
      <c r="L2050" t="s">
        <v>1185</v>
      </c>
      <c r="N2050" t="s">
        <v>58</v>
      </c>
    </row>
    <row r="2051" spans="1:13" ht="15">
      <c r="A2051" s="4">
        <v>201402</v>
      </c>
      <c r="B2051" t="s">
        <v>1181</v>
      </c>
      <c r="C2051" s="5">
        <v>6491865</v>
      </c>
      <c r="D2051" s="2" t="s">
        <v>1190</v>
      </c>
      <c r="E2051" s="2" t="s">
        <v>15</v>
      </c>
      <c r="F2051" s="3">
        <v>8785.6</v>
      </c>
      <c r="G2051" t="s">
        <v>257</v>
      </c>
      <c r="H2051" s="1" t="s">
        <v>60</v>
      </c>
      <c r="I2051" t="s">
        <v>1191</v>
      </c>
      <c r="J2051" t="s">
        <v>1183</v>
      </c>
      <c r="K2051" t="s">
        <v>1184</v>
      </c>
      <c r="L2051" t="s">
        <v>1185</v>
      </c>
      <c r="M2051">
        <v>894459</v>
      </c>
    </row>
    <row r="2052" spans="1:14" ht="15">
      <c r="A2052" s="4">
        <v>201402</v>
      </c>
      <c r="B2052" t="s">
        <v>1181</v>
      </c>
      <c r="C2052" s="5">
        <v>6491865</v>
      </c>
      <c r="D2052" s="2" t="s">
        <v>1190</v>
      </c>
      <c r="E2052" s="2" t="s">
        <v>15</v>
      </c>
      <c r="F2052" s="3">
        <v>4.08</v>
      </c>
      <c r="G2052" t="s">
        <v>57</v>
      </c>
      <c r="H2052" s="1" t="s">
        <v>69</v>
      </c>
      <c r="I2052">
        <f>-70098/40725/1</f>
        <v>-1.7212523020257826</v>
      </c>
      <c r="J2052" t="s">
        <v>1183</v>
      </c>
      <c r="K2052" t="s">
        <v>1184</v>
      </c>
      <c r="L2052" t="s">
        <v>1185</v>
      </c>
      <c r="N2052" t="s">
        <v>58</v>
      </c>
    </row>
    <row r="2053" spans="1:12" ht="15">
      <c r="A2053" s="4">
        <v>201402</v>
      </c>
      <c r="B2053" t="s">
        <v>1181</v>
      </c>
      <c r="C2053" s="5">
        <v>6491865</v>
      </c>
      <c r="D2053" s="2" t="s">
        <v>1190</v>
      </c>
      <c r="E2053" s="2" t="s">
        <v>15</v>
      </c>
      <c r="F2053" s="3">
        <v>68.02</v>
      </c>
      <c r="G2053" t="s">
        <v>257</v>
      </c>
      <c r="H2053" s="1" t="s">
        <v>69</v>
      </c>
      <c r="I2053" t="e">
        <f>-freight</f>
        <v>#NAME?</v>
      </c>
      <c r="J2053" t="s">
        <v>1183</v>
      </c>
      <c r="K2053" t="s">
        <v>1184</v>
      </c>
      <c r="L2053" t="s">
        <v>1185</v>
      </c>
    </row>
    <row r="2054" spans="1:12" ht="15">
      <c r="A2054" s="4">
        <v>201402</v>
      </c>
      <c r="B2054" t="s">
        <v>1181</v>
      </c>
      <c r="C2054" s="5">
        <v>6518016</v>
      </c>
      <c r="D2054" s="2" t="s">
        <v>1192</v>
      </c>
      <c r="E2054" s="2" t="s">
        <v>1193</v>
      </c>
      <c r="F2054" s="3">
        <v>1.55</v>
      </c>
      <c r="H2054" s="1" t="s">
        <v>66</v>
      </c>
      <c r="I2054" t="s">
        <v>67</v>
      </c>
      <c r="J2054" t="s">
        <v>1183</v>
      </c>
      <c r="K2054" t="s">
        <v>1184</v>
      </c>
      <c r="L2054" t="s">
        <v>1185</v>
      </c>
    </row>
    <row r="2055" spans="1:12" ht="15">
      <c r="A2055" s="4">
        <v>201402</v>
      </c>
      <c r="B2055" t="s">
        <v>1181</v>
      </c>
      <c r="C2055" s="5">
        <v>6518016</v>
      </c>
      <c r="D2055" s="2" t="s">
        <v>1192</v>
      </c>
      <c r="E2055" s="2" t="s">
        <v>1193</v>
      </c>
      <c r="F2055" s="3">
        <v>0</v>
      </c>
      <c r="H2055" s="1" t="s">
        <v>68</v>
      </c>
      <c r="J2055" t="s">
        <v>1183</v>
      </c>
      <c r="K2055" t="s">
        <v>1184</v>
      </c>
      <c r="L2055" t="s">
        <v>1185</v>
      </c>
    </row>
    <row r="2056" spans="1:12" ht="15">
      <c r="A2056" s="4">
        <v>201402</v>
      </c>
      <c r="B2056" t="s">
        <v>1181</v>
      </c>
      <c r="C2056" s="5">
        <v>6518016</v>
      </c>
      <c r="D2056" s="2" t="s">
        <v>1192</v>
      </c>
      <c r="E2056" s="2" t="s">
        <v>1193</v>
      </c>
      <c r="F2056" s="3">
        <v>0</v>
      </c>
      <c r="H2056" s="1" t="s">
        <v>68</v>
      </c>
      <c r="J2056" t="s">
        <v>1183</v>
      </c>
      <c r="K2056" t="s">
        <v>1184</v>
      </c>
      <c r="L2056" t="s">
        <v>1185</v>
      </c>
    </row>
    <row r="2057" spans="1:12" ht="15">
      <c r="A2057" s="4">
        <v>201402</v>
      </c>
      <c r="B2057" t="s">
        <v>1181</v>
      </c>
      <c r="C2057" s="5">
        <v>6518016</v>
      </c>
      <c r="D2057" s="2" t="s">
        <v>1192</v>
      </c>
      <c r="E2057" s="2" t="s">
        <v>1193</v>
      </c>
      <c r="F2057" s="3">
        <v>12</v>
      </c>
      <c r="H2057" s="1" t="s">
        <v>68</v>
      </c>
      <c r="J2057" t="s">
        <v>1183</v>
      </c>
      <c r="K2057" t="s">
        <v>1184</v>
      </c>
      <c r="L2057" t="s">
        <v>1185</v>
      </c>
    </row>
    <row r="2058" spans="1:14" ht="15">
      <c r="A2058" s="4">
        <v>201403</v>
      </c>
      <c r="B2058" t="s">
        <v>1181</v>
      </c>
      <c r="C2058" s="5">
        <v>6520711</v>
      </c>
      <c r="D2058" s="2" t="s">
        <v>444</v>
      </c>
      <c r="E2058" s="2" t="s">
        <v>15</v>
      </c>
      <c r="F2058" s="3">
        <v>144.72</v>
      </c>
      <c r="G2058" t="s">
        <v>57</v>
      </c>
      <c r="H2058" s="1" t="s">
        <v>60</v>
      </c>
      <c r="I2058" t="s">
        <v>1194</v>
      </c>
      <c r="J2058" t="s">
        <v>1183</v>
      </c>
      <c r="K2058" t="s">
        <v>1184</v>
      </c>
      <c r="L2058" t="s">
        <v>1185</v>
      </c>
      <c r="N2058" t="s">
        <v>58</v>
      </c>
    </row>
    <row r="2059" spans="1:13" ht="15">
      <c r="A2059" s="4">
        <v>201403</v>
      </c>
      <c r="B2059" t="s">
        <v>1181</v>
      </c>
      <c r="C2059" s="5">
        <v>6520711</v>
      </c>
      <c r="D2059" s="2" t="s">
        <v>444</v>
      </c>
      <c r="E2059" s="2" t="s">
        <v>15</v>
      </c>
      <c r="F2059" s="3">
        <v>2412</v>
      </c>
      <c r="G2059" t="s">
        <v>827</v>
      </c>
      <c r="H2059" s="1" t="s">
        <v>60</v>
      </c>
      <c r="I2059" t="e">
        <f>-Manual GEARBOX FOR PORV Manual Isolation VALVE</f>
        <v>#NAME?</v>
      </c>
      <c r="J2059" t="s">
        <v>1183</v>
      </c>
      <c r="K2059" t="s">
        <v>1184</v>
      </c>
      <c r="L2059" t="s">
        <v>1185</v>
      </c>
      <c r="M2059">
        <v>895259</v>
      </c>
    </row>
    <row r="2060" spans="1:13" ht="15">
      <c r="A2060" s="4">
        <v>201405</v>
      </c>
      <c r="B2060" t="s">
        <v>1181</v>
      </c>
      <c r="C2060" s="5">
        <v>6521228</v>
      </c>
      <c r="D2060" s="2" t="s">
        <v>445</v>
      </c>
      <c r="E2060" s="2" t="s">
        <v>15</v>
      </c>
      <c r="F2060" s="3">
        <v>4196.56</v>
      </c>
      <c r="G2060" t="s">
        <v>72</v>
      </c>
      <c r="H2060" s="1" t="s">
        <v>44</v>
      </c>
      <c r="I2060" t="e">
        <f>-Install TC2 INSPECTION doors.</f>
        <v>#NAME?</v>
      </c>
      <c r="J2060" t="s">
        <v>1183</v>
      </c>
      <c r="K2060" t="s">
        <v>1184</v>
      </c>
      <c r="L2060" t="s">
        <v>1185</v>
      </c>
      <c r="M2060">
        <v>898927</v>
      </c>
    </row>
    <row r="2061" spans="1:13" ht="15">
      <c r="A2061" s="4">
        <v>201405</v>
      </c>
      <c r="B2061" t="s">
        <v>1181</v>
      </c>
      <c r="C2061" s="5">
        <v>6521228</v>
      </c>
      <c r="D2061" s="2" t="s">
        <v>445</v>
      </c>
      <c r="E2061" s="2" t="s">
        <v>15</v>
      </c>
      <c r="F2061" s="3">
        <v>8378.3</v>
      </c>
      <c r="G2061" t="s">
        <v>72</v>
      </c>
      <c r="H2061" s="1" t="s">
        <v>44</v>
      </c>
      <c r="I2061" t="e">
        <f>-Install TC2 INSPECTION doors.</f>
        <v>#NAME?</v>
      </c>
      <c r="J2061" t="s">
        <v>1183</v>
      </c>
      <c r="K2061" t="s">
        <v>1184</v>
      </c>
      <c r="L2061" t="s">
        <v>1185</v>
      </c>
      <c r="M2061">
        <v>898927</v>
      </c>
    </row>
    <row r="2062" spans="1:13" ht="15">
      <c r="A2062" s="4">
        <v>201406</v>
      </c>
      <c r="B2062" t="s">
        <v>1181</v>
      </c>
      <c r="C2062" s="5">
        <v>6521228</v>
      </c>
      <c r="D2062" s="2" t="s">
        <v>445</v>
      </c>
      <c r="E2062" s="2" t="s">
        <v>15</v>
      </c>
      <c r="F2062" s="3">
        <v>885.56</v>
      </c>
      <c r="G2062" t="s">
        <v>72</v>
      </c>
      <c r="H2062" s="1" t="s">
        <v>44</v>
      </c>
      <c r="I2062" t="e">
        <f>-Install TC2 INSPECTION doors.</f>
        <v>#NAME?</v>
      </c>
      <c r="J2062" t="s">
        <v>1183</v>
      </c>
      <c r="K2062" t="s">
        <v>1184</v>
      </c>
      <c r="L2062" t="s">
        <v>1185</v>
      </c>
      <c r="M2062">
        <v>898927</v>
      </c>
    </row>
    <row r="2063" spans="1:13" ht="15">
      <c r="A2063" s="4">
        <v>201407</v>
      </c>
      <c r="B2063" t="s">
        <v>1181</v>
      </c>
      <c r="C2063" s="5">
        <v>6531312</v>
      </c>
      <c r="D2063" s="2" t="s">
        <v>661</v>
      </c>
      <c r="E2063" s="2" t="s">
        <v>15</v>
      </c>
      <c r="F2063" s="3">
        <v>39310.4</v>
      </c>
      <c r="G2063" t="s">
        <v>294</v>
      </c>
      <c r="H2063" s="1" t="s">
        <v>44</v>
      </c>
      <c r="I2063" t="s">
        <v>1195</v>
      </c>
      <c r="J2063" t="s">
        <v>1183</v>
      </c>
      <c r="K2063" t="s">
        <v>1184</v>
      </c>
      <c r="L2063" t="s">
        <v>1185</v>
      </c>
      <c r="M2063">
        <v>898159</v>
      </c>
    </row>
    <row r="2064" spans="1:14" ht="15">
      <c r="A2064" s="4">
        <v>201408</v>
      </c>
      <c r="B2064" t="s">
        <v>1181</v>
      </c>
      <c r="C2064" s="5">
        <v>6531312</v>
      </c>
      <c r="D2064" s="2" t="s">
        <v>661</v>
      </c>
      <c r="E2064" s="2" t="s">
        <v>15</v>
      </c>
      <c r="F2064" s="3">
        <v>531.36</v>
      </c>
      <c r="G2064" t="s">
        <v>57</v>
      </c>
      <c r="H2064" s="1" t="s">
        <v>60</v>
      </c>
      <c r="I2064">
        <f>-18016/818447/1</f>
        <v>-0.022012421085299355</v>
      </c>
      <c r="J2064" t="s">
        <v>1183</v>
      </c>
      <c r="K2064" t="s">
        <v>1184</v>
      </c>
      <c r="L2064" t="s">
        <v>1185</v>
      </c>
      <c r="N2064" t="s">
        <v>58</v>
      </c>
    </row>
    <row r="2065" spans="1:13" ht="15">
      <c r="A2065" s="4">
        <v>201408</v>
      </c>
      <c r="B2065" t="s">
        <v>1181</v>
      </c>
      <c r="C2065" s="5">
        <v>6531312</v>
      </c>
      <c r="D2065" s="2" t="s">
        <v>661</v>
      </c>
      <c r="E2065" s="2" t="s">
        <v>15</v>
      </c>
      <c r="F2065" s="3">
        <v>8856</v>
      </c>
      <c r="G2065" t="s">
        <v>294</v>
      </c>
      <c r="H2065" s="1" t="s">
        <v>60</v>
      </c>
      <c r="I2065" t="s">
        <v>1196</v>
      </c>
      <c r="J2065" t="s">
        <v>1183</v>
      </c>
      <c r="K2065" t="s">
        <v>1184</v>
      </c>
      <c r="L2065" t="s">
        <v>1185</v>
      </c>
      <c r="M2065">
        <v>897443</v>
      </c>
    </row>
    <row r="2066" spans="1:13" ht="15">
      <c r="A2066" s="4">
        <v>201405</v>
      </c>
      <c r="B2066" t="s">
        <v>1181</v>
      </c>
      <c r="C2066" s="5">
        <v>6532040</v>
      </c>
      <c r="D2066" s="2" t="s">
        <v>665</v>
      </c>
      <c r="E2066" s="2" t="s">
        <v>15</v>
      </c>
      <c r="F2066" s="3">
        <v>19064.76</v>
      </c>
      <c r="G2066" t="s">
        <v>1197</v>
      </c>
      <c r="H2066" s="1" t="s">
        <v>44</v>
      </c>
      <c r="I2066" t="e">
        <f>-FIELD Service engineer FOR thrust INSPECTION ACROSS Two working days</f>
        <v>#NAME?</v>
      </c>
      <c r="J2066" t="s">
        <v>1183</v>
      </c>
      <c r="K2066" t="s">
        <v>1184</v>
      </c>
      <c r="L2066" t="s">
        <v>1185</v>
      </c>
      <c r="M2066">
        <v>898564</v>
      </c>
    </row>
    <row r="2067" spans="1:12" ht="15">
      <c r="A2067" s="4">
        <v>201402</v>
      </c>
      <c r="B2067" t="s">
        <v>1181</v>
      </c>
      <c r="C2067" s="5">
        <v>6532040</v>
      </c>
      <c r="D2067" s="2" t="s">
        <v>665</v>
      </c>
      <c r="E2067" s="2" t="s">
        <v>15</v>
      </c>
      <c r="F2067" s="3">
        <v>6403</v>
      </c>
      <c r="H2067" s="1" t="s">
        <v>60</v>
      </c>
      <c r="I2067" t="s">
        <v>1198</v>
      </c>
      <c r="J2067" t="s">
        <v>1183</v>
      </c>
      <c r="K2067" t="s">
        <v>1184</v>
      </c>
      <c r="L2067" t="s">
        <v>1185</v>
      </c>
    </row>
    <row r="2068" spans="1:12" ht="15">
      <c r="A2068" s="4">
        <v>201403</v>
      </c>
      <c r="B2068" t="s">
        <v>1181</v>
      </c>
      <c r="C2068" s="5">
        <v>6532040</v>
      </c>
      <c r="D2068" s="2" t="s">
        <v>665</v>
      </c>
      <c r="E2068" s="2" t="s">
        <v>15</v>
      </c>
      <c r="F2068" s="3">
        <v>-6403</v>
      </c>
      <c r="H2068" s="1" t="s">
        <v>60</v>
      </c>
      <c r="I2068" t="s">
        <v>1198</v>
      </c>
      <c r="J2068" t="s">
        <v>1183</v>
      </c>
      <c r="K2068" t="s">
        <v>1184</v>
      </c>
      <c r="L2068" t="s">
        <v>1185</v>
      </c>
    </row>
    <row r="2069" spans="1:13" ht="15">
      <c r="A2069" s="4">
        <v>201403</v>
      </c>
      <c r="B2069" t="s">
        <v>1181</v>
      </c>
      <c r="C2069" s="5">
        <v>6532040</v>
      </c>
      <c r="D2069" s="2" t="s">
        <v>665</v>
      </c>
      <c r="E2069" s="2" t="s">
        <v>15</v>
      </c>
      <c r="F2069" s="3">
        <v>2</v>
      </c>
      <c r="G2069" t="s">
        <v>1197</v>
      </c>
      <c r="H2069" s="1" t="s">
        <v>60</v>
      </c>
      <c r="I2069" t="s">
        <v>1199</v>
      </c>
      <c r="J2069" t="s">
        <v>1183</v>
      </c>
      <c r="K2069" t="s">
        <v>1184</v>
      </c>
      <c r="L2069" t="s">
        <v>1185</v>
      </c>
      <c r="M2069">
        <v>898564</v>
      </c>
    </row>
    <row r="2070" spans="1:13" ht="15">
      <c r="A2070" s="4">
        <v>201403</v>
      </c>
      <c r="B2070" t="s">
        <v>1181</v>
      </c>
      <c r="C2070" s="5">
        <v>6532040</v>
      </c>
      <c r="D2070" s="2" t="s">
        <v>665</v>
      </c>
      <c r="E2070" s="2" t="s">
        <v>15</v>
      </c>
      <c r="F2070" s="3">
        <v>12</v>
      </c>
      <c r="G2070" t="s">
        <v>1197</v>
      </c>
      <c r="H2070" s="1" t="s">
        <v>60</v>
      </c>
      <c r="I2070" t="s">
        <v>1200</v>
      </c>
      <c r="J2070" t="s">
        <v>1183</v>
      </c>
      <c r="K2070" t="s">
        <v>1184</v>
      </c>
      <c r="L2070" t="s">
        <v>1185</v>
      </c>
      <c r="M2070">
        <v>898564</v>
      </c>
    </row>
    <row r="2071" spans="1:13" ht="15">
      <c r="A2071" s="4">
        <v>201403</v>
      </c>
      <c r="B2071" t="s">
        <v>1181</v>
      </c>
      <c r="C2071" s="5">
        <v>6532040</v>
      </c>
      <c r="D2071" s="2" t="s">
        <v>665</v>
      </c>
      <c r="E2071" s="2" t="s">
        <v>15</v>
      </c>
      <c r="F2071" s="3">
        <v>12</v>
      </c>
      <c r="G2071" t="s">
        <v>1197</v>
      </c>
      <c r="H2071" s="1" t="s">
        <v>60</v>
      </c>
      <c r="I2071" t="s">
        <v>1201</v>
      </c>
      <c r="J2071" t="s">
        <v>1183</v>
      </c>
      <c r="K2071" t="s">
        <v>1184</v>
      </c>
      <c r="L2071" t="s">
        <v>1185</v>
      </c>
      <c r="M2071">
        <v>898564</v>
      </c>
    </row>
    <row r="2072" spans="1:13" ht="15">
      <c r="A2072" s="4">
        <v>201403</v>
      </c>
      <c r="B2072" t="s">
        <v>1181</v>
      </c>
      <c r="C2072" s="5">
        <v>6532040</v>
      </c>
      <c r="D2072" s="2" t="s">
        <v>665</v>
      </c>
      <c r="E2072" s="2" t="s">
        <v>15</v>
      </c>
      <c r="F2072" s="3">
        <v>12</v>
      </c>
      <c r="G2072" t="s">
        <v>1197</v>
      </c>
      <c r="H2072" s="1" t="s">
        <v>60</v>
      </c>
      <c r="I2072" t="s">
        <v>1202</v>
      </c>
      <c r="J2072" t="s">
        <v>1183</v>
      </c>
      <c r="K2072" t="s">
        <v>1184</v>
      </c>
      <c r="L2072" t="s">
        <v>1185</v>
      </c>
      <c r="M2072">
        <v>898564</v>
      </c>
    </row>
    <row r="2073" spans="1:13" ht="15">
      <c r="A2073" s="4">
        <v>201403</v>
      </c>
      <c r="B2073" t="s">
        <v>1181</v>
      </c>
      <c r="C2073" s="5">
        <v>6532040</v>
      </c>
      <c r="D2073" s="2" t="s">
        <v>665</v>
      </c>
      <c r="E2073" s="2" t="s">
        <v>15</v>
      </c>
      <c r="F2073" s="3">
        <v>20</v>
      </c>
      <c r="G2073" t="s">
        <v>1197</v>
      </c>
      <c r="H2073" s="1" t="s">
        <v>60</v>
      </c>
      <c r="I2073" t="s">
        <v>1203</v>
      </c>
      <c r="J2073" t="s">
        <v>1183</v>
      </c>
      <c r="K2073" t="s">
        <v>1184</v>
      </c>
      <c r="L2073" t="s">
        <v>1185</v>
      </c>
      <c r="M2073">
        <v>898564</v>
      </c>
    </row>
    <row r="2074" spans="1:13" ht="15">
      <c r="A2074" s="4">
        <v>201403</v>
      </c>
      <c r="B2074" t="s">
        <v>1181</v>
      </c>
      <c r="C2074" s="5">
        <v>6532040</v>
      </c>
      <c r="D2074" s="2" t="s">
        <v>665</v>
      </c>
      <c r="E2074" s="2" t="s">
        <v>15</v>
      </c>
      <c r="F2074" s="3">
        <v>20</v>
      </c>
      <c r="G2074" t="s">
        <v>1197</v>
      </c>
      <c r="H2074" s="1" t="s">
        <v>60</v>
      </c>
      <c r="I2074" t="s">
        <v>1204</v>
      </c>
      <c r="J2074" t="s">
        <v>1183</v>
      </c>
      <c r="K2074" t="s">
        <v>1184</v>
      </c>
      <c r="L2074" t="s">
        <v>1185</v>
      </c>
      <c r="M2074">
        <v>898564</v>
      </c>
    </row>
    <row r="2075" spans="1:13" ht="15">
      <c r="A2075" s="4">
        <v>201403</v>
      </c>
      <c r="B2075" t="s">
        <v>1181</v>
      </c>
      <c r="C2075" s="5">
        <v>6532040</v>
      </c>
      <c r="D2075" s="2" t="s">
        <v>665</v>
      </c>
      <c r="E2075" s="2" t="s">
        <v>15</v>
      </c>
      <c r="F2075" s="3">
        <v>24</v>
      </c>
      <c r="G2075" t="s">
        <v>1197</v>
      </c>
      <c r="H2075" s="1" t="s">
        <v>60</v>
      </c>
      <c r="I2075" t="s">
        <v>1205</v>
      </c>
      <c r="J2075" t="s">
        <v>1183</v>
      </c>
      <c r="K2075" t="s">
        <v>1184</v>
      </c>
      <c r="L2075" t="s">
        <v>1185</v>
      </c>
      <c r="M2075">
        <v>898564</v>
      </c>
    </row>
    <row r="2076" spans="1:13" ht="15">
      <c r="A2076" s="4">
        <v>201403</v>
      </c>
      <c r="B2076" t="s">
        <v>1181</v>
      </c>
      <c r="C2076" s="5">
        <v>6532040</v>
      </c>
      <c r="D2076" s="2" t="s">
        <v>665</v>
      </c>
      <c r="E2076" s="2" t="s">
        <v>15</v>
      </c>
      <c r="F2076" s="3">
        <v>32</v>
      </c>
      <c r="G2076" t="s">
        <v>1197</v>
      </c>
      <c r="H2076" s="1" t="s">
        <v>60</v>
      </c>
      <c r="I2076" t="s">
        <v>1206</v>
      </c>
      <c r="J2076" t="s">
        <v>1183</v>
      </c>
      <c r="K2076" t="s">
        <v>1184</v>
      </c>
      <c r="L2076" t="s">
        <v>1185</v>
      </c>
      <c r="M2076">
        <v>898564</v>
      </c>
    </row>
    <row r="2077" spans="1:13" ht="15">
      <c r="A2077" s="4">
        <v>201403</v>
      </c>
      <c r="B2077" t="s">
        <v>1181</v>
      </c>
      <c r="C2077" s="5">
        <v>6532040</v>
      </c>
      <c r="D2077" s="2" t="s">
        <v>665</v>
      </c>
      <c r="E2077" s="2" t="s">
        <v>15</v>
      </c>
      <c r="F2077" s="3">
        <v>46</v>
      </c>
      <c r="G2077" t="s">
        <v>1197</v>
      </c>
      <c r="H2077" s="1" t="s">
        <v>60</v>
      </c>
      <c r="I2077" t="s">
        <v>1207</v>
      </c>
      <c r="J2077" t="s">
        <v>1183</v>
      </c>
      <c r="K2077" t="s">
        <v>1184</v>
      </c>
      <c r="L2077" t="s">
        <v>1185</v>
      </c>
      <c r="M2077">
        <v>898564</v>
      </c>
    </row>
    <row r="2078" spans="1:13" ht="15">
      <c r="A2078" s="4">
        <v>201403</v>
      </c>
      <c r="B2078" t="s">
        <v>1181</v>
      </c>
      <c r="C2078" s="5">
        <v>6532040</v>
      </c>
      <c r="D2078" s="2" t="s">
        <v>665</v>
      </c>
      <c r="E2078" s="2" t="s">
        <v>15</v>
      </c>
      <c r="F2078" s="3">
        <v>108</v>
      </c>
      <c r="G2078" t="s">
        <v>1197</v>
      </c>
      <c r="H2078" s="1" t="s">
        <v>60</v>
      </c>
      <c r="I2078" t="s">
        <v>1208</v>
      </c>
      <c r="J2078" t="s">
        <v>1183</v>
      </c>
      <c r="K2078" t="s">
        <v>1184</v>
      </c>
      <c r="L2078" t="s">
        <v>1185</v>
      </c>
      <c r="M2078">
        <v>898564</v>
      </c>
    </row>
    <row r="2079" spans="1:14" ht="15">
      <c r="A2079" s="4">
        <v>201403</v>
      </c>
      <c r="B2079" t="s">
        <v>1181</v>
      </c>
      <c r="C2079" s="5">
        <v>6532040</v>
      </c>
      <c r="D2079" s="2" t="s">
        <v>665</v>
      </c>
      <c r="E2079" s="2" t="s">
        <v>15</v>
      </c>
      <c r="F2079" s="3">
        <v>121.32</v>
      </c>
      <c r="G2079" t="s">
        <v>57</v>
      </c>
      <c r="H2079" s="1" t="s">
        <v>60</v>
      </c>
      <c r="I2079">
        <f>-34718/23045/1</f>
        <v>-1.506530700802777</v>
      </c>
      <c r="J2079" t="s">
        <v>1183</v>
      </c>
      <c r="K2079" t="s">
        <v>1184</v>
      </c>
      <c r="L2079" t="s">
        <v>1185</v>
      </c>
      <c r="N2079" t="s">
        <v>58</v>
      </c>
    </row>
    <row r="2080" spans="1:13" ht="15">
      <c r="A2080" s="4">
        <v>201403</v>
      </c>
      <c r="B2080" t="s">
        <v>1181</v>
      </c>
      <c r="C2080" s="5">
        <v>6532040</v>
      </c>
      <c r="D2080" s="2" t="s">
        <v>665</v>
      </c>
      <c r="E2080" s="2" t="s">
        <v>15</v>
      </c>
      <c r="F2080" s="3">
        <v>250</v>
      </c>
      <c r="G2080" t="s">
        <v>1197</v>
      </c>
      <c r="H2080" s="1" t="s">
        <v>60</v>
      </c>
      <c r="I2080" t="s">
        <v>1209</v>
      </c>
      <c r="J2080" t="s">
        <v>1183</v>
      </c>
      <c r="K2080" t="s">
        <v>1184</v>
      </c>
      <c r="L2080" t="s">
        <v>1185</v>
      </c>
      <c r="M2080">
        <v>898564</v>
      </c>
    </row>
    <row r="2081" spans="1:14" ht="15">
      <c r="A2081" s="4">
        <v>201403</v>
      </c>
      <c r="B2081" t="s">
        <v>1181</v>
      </c>
      <c r="C2081" s="5">
        <v>6532040</v>
      </c>
      <c r="D2081" s="2" t="s">
        <v>665</v>
      </c>
      <c r="E2081" s="2" t="s">
        <v>15</v>
      </c>
      <c r="F2081" s="3">
        <v>388.98</v>
      </c>
      <c r="G2081" t="s">
        <v>57</v>
      </c>
      <c r="H2081" s="1" t="s">
        <v>60</v>
      </c>
      <c r="I2081">
        <f>-34718/22966/1</f>
        <v>-1.5117129669946878</v>
      </c>
      <c r="J2081" t="s">
        <v>1183</v>
      </c>
      <c r="K2081" t="s">
        <v>1184</v>
      </c>
      <c r="L2081" t="s">
        <v>1185</v>
      </c>
      <c r="N2081" t="s">
        <v>58</v>
      </c>
    </row>
    <row r="2082" spans="1:13" ht="15">
      <c r="A2082" s="4">
        <v>201403</v>
      </c>
      <c r="B2082" t="s">
        <v>1181</v>
      </c>
      <c r="C2082" s="5">
        <v>6532040</v>
      </c>
      <c r="D2082" s="2" t="s">
        <v>665</v>
      </c>
      <c r="E2082" s="2" t="s">
        <v>15</v>
      </c>
      <c r="F2082" s="3">
        <v>767</v>
      </c>
      <c r="G2082" t="s">
        <v>1197</v>
      </c>
      <c r="H2082" s="1" t="s">
        <v>60</v>
      </c>
      <c r="I2082" t="s">
        <v>1210</v>
      </c>
      <c r="J2082" t="s">
        <v>1183</v>
      </c>
      <c r="K2082" t="s">
        <v>1184</v>
      </c>
      <c r="L2082" t="s">
        <v>1185</v>
      </c>
      <c r="M2082">
        <v>898564</v>
      </c>
    </row>
    <row r="2083" spans="1:13" ht="15">
      <c r="A2083" s="4">
        <v>201403</v>
      </c>
      <c r="B2083" t="s">
        <v>1181</v>
      </c>
      <c r="C2083" s="5">
        <v>6532040</v>
      </c>
      <c r="D2083" s="2" t="s">
        <v>665</v>
      </c>
      <c r="E2083" s="2" t="s">
        <v>15</v>
      </c>
      <c r="F2083" s="3">
        <v>988</v>
      </c>
      <c r="G2083" t="s">
        <v>1197</v>
      </c>
      <c r="H2083" s="1" t="s">
        <v>60</v>
      </c>
      <c r="I2083" t="s">
        <v>1211</v>
      </c>
      <c r="J2083" t="s">
        <v>1183</v>
      </c>
      <c r="K2083" t="s">
        <v>1184</v>
      </c>
      <c r="L2083" t="s">
        <v>1185</v>
      </c>
      <c r="M2083">
        <v>898564</v>
      </c>
    </row>
    <row r="2084" spans="1:13" ht="15">
      <c r="A2084" s="4">
        <v>201403</v>
      </c>
      <c r="B2084" t="s">
        <v>1181</v>
      </c>
      <c r="C2084" s="5">
        <v>6532040</v>
      </c>
      <c r="D2084" s="2" t="s">
        <v>665</v>
      </c>
      <c r="E2084" s="2" t="s">
        <v>15</v>
      </c>
      <c r="F2084" s="3">
        <v>1155</v>
      </c>
      <c r="G2084" t="s">
        <v>1197</v>
      </c>
      <c r="H2084" s="1" t="s">
        <v>60</v>
      </c>
      <c r="I2084" t="s">
        <v>1212</v>
      </c>
      <c r="J2084" t="s">
        <v>1183</v>
      </c>
      <c r="K2084" t="s">
        <v>1184</v>
      </c>
      <c r="L2084" t="s">
        <v>1185</v>
      </c>
      <c r="M2084">
        <v>898564</v>
      </c>
    </row>
    <row r="2085" spans="1:13" ht="15">
      <c r="A2085" s="4">
        <v>201403</v>
      </c>
      <c r="B2085" t="s">
        <v>1181</v>
      </c>
      <c r="C2085" s="5">
        <v>6532040</v>
      </c>
      <c r="D2085" s="2" t="s">
        <v>665</v>
      </c>
      <c r="E2085" s="2" t="s">
        <v>15</v>
      </c>
      <c r="F2085" s="3">
        <v>5057</v>
      </c>
      <c r="G2085" t="s">
        <v>1197</v>
      </c>
      <c r="H2085" s="1" t="s">
        <v>60</v>
      </c>
      <c r="I2085" t="s">
        <v>1213</v>
      </c>
      <c r="J2085" t="s">
        <v>1183</v>
      </c>
      <c r="K2085" t="s">
        <v>1184</v>
      </c>
      <c r="L2085" t="s">
        <v>1185</v>
      </c>
      <c r="M2085">
        <v>898564</v>
      </c>
    </row>
    <row r="2086" spans="1:14" ht="15">
      <c r="A2086" s="4">
        <v>201404</v>
      </c>
      <c r="B2086" t="s">
        <v>1181</v>
      </c>
      <c r="C2086" s="5">
        <v>6532040</v>
      </c>
      <c r="D2086" s="2" t="s">
        <v>665</v>
      </c>
      <c r="E2086" s="2" t="s">
        <v>15</v>
      </c>
      <c r="F2086" s="3">
        <v>664.86</v>
      </c>
      <c r="G2086" t="s">
        <v>57</v>
      </c>
      <c r="H2086" s="1" t="s">
        <v>60</v>
      </c>
      <c r="I2086">
        <f>-34718/23114/1</f>
        <v>-1.502033399671195</v>
      </c>
      <c r="J2086" t="s">
        <v>1183</v>
      </c>
      <c r="K2086" t="s">
        <v>1184</v>
      </c>
      <c r="L2086" t="s">
        <v>1185</v>
      </c>
      <c r="N2086" t="s">
        <v>58</v>
      </c>
    </row>
    <row r="2087" spans="1:13" ht="15">
      <c r="A2087" s="4">
        <v>201404</v>
      </c>
      <c r="B2087" t="s">
        <v>1181</v>
      </c>
      <c r="C2087" s="5">
        <v>6532040</v>
      </c>
      <c r="D2087" s="2" t="s">
        <v>665</v>
      </c>
      <c r="E2087" s="2" t="s">
        <v>15</v>
      </c>
      <c r="F2087" s="3">
        <v>11081</v>
      </c>
      <c r="G2087" t="s">
        <v>1197</v>
      </c>
      <c r="H2087" s="1" t="s">
        <v>60</v>
      </c>
      <c r="I2087" t="s">
        <v>1214</v>
      </c>
      <c r="J2087" t="s">
        <v>1183</v>
      </c>
      <c r="K2087" t="s">
        <v>1184</v>
      </c>
      <c r="L2087" t="s">
        <v>1185</v>
      </c>
      <c r="M2087">
        <v>898564</v>
      </c>
    </row>
    <row r="2088" spans="1:14" ht="15">
      <c r="A2088" s="4">
        <v>201403</v>
      </c>
      <c r="B2088" t="s">
        <v>1181</v>
      </c>
      <c r="C2088" s="5">
        <v>6532040</v>
      </c>
      <c r="D2088" s="2" t="s">
        <v>665</v>
      </c>
      <c r="E2088" s="2" t="s">
        <v>15</v>
      </c>
      <c r="F2088" s="3">
        <v>2.33</v>
      </c>
      <c r="G2088" t="s">
        <v>57</v>
      </c>
      <c r="H2088" s="1" t="s">
        <v>69</v>
      </c>
      <c r="I2088">
        <f>-34718/23045/1</f>
        <v>-1.506530700802777</v>
      </c>
      <c r="J2088" t="s">
        <v>1183</v>
      </c>
      <c r="K2088" t="s">
        <v>1184</v>
      </c>
      <c r="L2088" t="s">
        <v>1185</v>
      </c>
      <c r="N2088" t="s">
        <v>58</v>
      </c>
    </row>
    <row r="2089" spans="1:14" ht="15">
      <c r="A2089" s="4">
        <v>201403</v>
      </c>
      <c r="B2089" t="s">
        <v>1181</v>
      </c>
      <c r="C2089" s="5">
        <v>6532040</v>
      </c>
      <c r="D2089" s="2" t="s">
        <v>665</v>
      </c>
      <c r="E2089" s="2" t="s">
        <v>15</v>
      </c>
      <c r="F2089" s="3">
        <v>4.8</v>
      </c>
      <c r="G2089" t="s">
        <v>57</v>
      </c>
      <c r="H2089" s="1" t="s">
        <v>69</v>
      </c>
      <c r="I2089">
        <f>-34718/22966/1</f>
        <v>-1.5117129669946878</v>
      </c>
      <c r="J2089" t="s">
        <v>1183</v>
      </c>
      <c r="K2089" t="s">
        <v>1184</v>
      </c>
      <c r="L2089" t="s">
        <v>1185</v>
      </c>
      <c r="N2089" t="s">
        <v>58</v>
      </c>
    </row>
    <row r="2090" spans="1:12" ht="15">
      <c r="A2090" s="4">
        <v>201403</v>
      </c>
      <c r="B2090" t="s">
        <v>1181</v>
      </c>
      <c r="C2090" s="5">
        <v>6532040</v>
      </c>
      <c r="D2090" s="2" t="s">
        <v>665</v>
      </c>
      <c r="E2090" s="2" t="s">
        <v>15</v>
      </c>
      <c r="F2090" s="3">
        <v>38.9</v>
      </c>
      <c r="G2090" t="s">
        <v>1197</v>
      </c>
      <c r="H2090" s="1" t="s">
        <v>69</v>
      </c>
      <c r="I2090" t="e">
        <f>-freight</f>
        <v>#NAME?</v>
      </c>
      <c r="J2090" t="s">
        <v>1183</v>
      </c>
      <c r="K2090" t="s">
        <v>1184</v>
      </c>
      <c r="L2090" t="s">
        <v>1185</v>
      </c>
    </row>
    <row r="2091" spans="1:12" ht="15">
      <c r="A2091" s="4">
        <v>201403</v>
      </c>
      <c r="B2091" t="s">
        <v>1181</v>
      </c>
      <c r="C2091" s="5">
        <v>6532040</v>
      </c>
      <c r="D2091" s="2" t="s">
        <v>665</v>
      </c>
      <c r="E2091" s="2" t="s">
        <v>15</v>
      </c>
      <c r="F2091" s="3">
        <v>80.05</v>
      </c>
      <c r="G2091" t="s">
        <v>1197</v>
      </c>
      <c r="H2091" s="1" t="s">
        <v>69</v>
      </c>
      <c r="I2091" t="e">
        <f>-freight</f>
        <v>#NAME?</v>
      </c>
      <c r="J2091" t="s">
        <v>1183</v>
      </c>
      <c r="K2091" t="s">
        <v>1184</v>
      </c>
      <c r="L2091" t="s">
        <v>1185</v>
      </c>
    </row>
    <row r="2092" spans="1:13" ht="15">
      <c r="A2092" s="4">
        <v>201404</v>
      </c>
      <c r="B2092" t="s">
        <v>1181</v>
      </c>
      <c r="C2092" s="5">
        <v>6533702</v>
      </c>
      <c r="D2092" s="2" t="s">
        <v>689</v>
      </c>
      <c r="E2092" s="2" t="s">
        <v>15</v>
      </c>
      <c r="F2092" s="3">
        <v>27360.76</v>
      </c>
      <c r="G2092" t="s">
        <v>827</v>
      </c>
      <c r="H2092" s="1" t="s">
        <v>78</v>
      </c>
      <c r="I2092" t="e">
        <f>-labor/MATERIAL-Test Safety valves and make Repairs as needed on TC2 Safety valves</f>
        <v>#NAME?</v>
      </c>
      <c r="J2092" t="s">
        <v>1183</v>
      </c>
      <c r="K2092" t="s">
        <v>1184</v>
      </c>
      <c r="L2092" t="s">
        <v>1185</v>
      </c>
      <c r="M2092">
        <v>897682</v>
      </c>
    </row>
    <row r="2093" spans="1:13" ht="15">
      <c r="A2093" s="4">
        <v>201403</v>
      </c>
      <c r="B2093" t="s">
        <v>1181</v>
      </c>
      <c r="C2093" s="5">
        <v>6533702</v>
      </c>
      <c r="D2093" s="2" t="s">
        <v>689</v>
      </c>
      <c r="E2093" s="2" t="s">
        <v>15</v>
      </c>
      <c r="F2093" s="3">
        <v>12814.2</v>
      </c>
      <c r="G2093" t="s">
        <v>73</v>
      </c>
      <c r="H2093" s="1" t="s">
        <v>46</v>
      </c>
      <c r="I2093" t="s">
        <v>94</v>
      </c>
      <c r="J2093" t="s">
        <v>1183</v>
      </c>
      <c r="K2093" t="s">
        <v>1184</v>
      </c>
      <c r="L2093" t="s">
        <v>1185</v>
      </c>
      <c r="M2093">
        <v>902317</v>
      </c>
    </row>
    <row r="2094" spans="1:13" ht="15">
      <c r="A2094" s="4">
        <v>201405</v>
      </c>
      <c r="B2094" t="s">
        <v>1181</v>
      </c>
      <c r="C2094" s="5">
        <v>6533702</v>
      </c>
      <c r="D2094" s="2" t="s">
        <v>689</v>
      </c>
      <c r="E2094" s="2" t="s">
        <v>15</v>
      </c>
      <c r="F2094" s="3">
        <v>2591.52</v>
      </c>
      <c r="G2094" t="s">
        <v>73</v>
      </c>
      <c r="H2094" s="1" t="s">
        <v>46</v>
      </c>
      <c r="I2094" t="s">
        <v>95</v>
      </c>
      <c r="J2094" t="s">
        <v>1183</v>
      </c>
      <c r="K2094" t="s">
        <v>1184</v>
      </c>
      <c r="L2094" t="s">
        <v>1185</v>
      </c>
      <c r="M2094">
        <v>904872</v>
      </c>
    </row>
    <row r="2095" spans="1:13" ht="15">
      <c r="A2095" s="4">
        <v>201404</v>
      </c>
      <c r="B2095" t="s">
        <v>1181</v>
      </c>
      <c r="C2095" s="5">
        <v>6535458</v>
      </c>
      <c r="D2095" s="2" t="s">
        <v>736</v>
      </c>
      <c r="E2095" s="2" t="s">
        <v>15</v>
      </c>
      <c r="F2095" s="3">
        <v>61200</v>
      </c>
      <c r="G2095" t="s">
        <v>446</v>
      </c>
      <c r="H2095" s="1" t="s">
        <v>44</v>
      </c>
      <c r="I2095" t="s">
        <v>1215</v>
      </c>
      <c r="J2095" t="s">
        <v>1183</v>
      </c>
      <c r="K2095" t="s">
        <v>1184</v>
      </c>
      <c r="L2095" t="s">
        <v>1185</v>
      </c>
      <c r="M2095">
        <v>898878</v>
      </c>
    </row>
    <row r="2096" spans="1:13" ht="15">
      <c r="A2096" s="4">
        <v>201403</v>
      </c>
      <c r="B2096" t="s">
        <v>1181</v>
      </c>
      <c r="C2096" s="5">
        <v>6535695</v>
      </c>
      <c r="D2096" s="2" t="s">
        <v>812</v>
      </c>
      <c r="E2096" s="2" t="s">
        <v>15</v>
      </c>
      <c r="F2096" s="3">
        <v>427.4</v>
      </c>
      <c r="G2096" t="s">
        <v>73</v>
      </c>
      <c r="H2096" s="1" t="s">
        <v>46</v>
      </c>
      <c r="I2096" t="s">
        <v>1216</v>
      </c>
      <c r="J2096" t="s">
        <v>1183</v>
      </c>
      <c r="K2096" t="s">
        <v>1184</v>
      </c>
      <c r="L2096" t="s">
        <v>1185</v>
      </c>
      <c r="M2096">
        <v>901667</v>
      </c>
    </row>
    <row r="2097" spans="1:12" ht="15">
      <c r="A2097" s="4">
        <v>201405</v>
      </c>
      <c r="B2097" t="s">
        <v>1181</v>
      </c>
      <c r="C2097" s="5">
        <v>6540764</v>
      </c>
      <c r="D2097" s="2" t="s">
        <v>1217</v>
      </c>
      <c r="E2097" s="2" t="s">
        <v>15</v>
      </c>
      <c r="F2097" s="3">
        <v>0</v>
      </c>
      <c r="H2097" s="1" t="s">
        <v>68</v>
      </c>
      <c r="J2097" t="s">
        <v>1183</v>
      </c>
      <c r="K2097" t="s">
        <v>1184</v>
      </c>
      <c r="L2097" t="s">
        <v>1185</v>
      </c>
    </row>
    <row r="2098" spans="1:12" ht="15">
      <c r="A2098" s="4">
        <v>201405</v>
      </c>
      <c r="B2098" t="s">
        <v>1181</v>
      </c>
      <c r="C2098" s="5">
        <v>6540764</v>
      </c>
      <c r="D2098" s="2" t="s">
        <v>1217</v>
      </c>
      <c r="E2098" s="2" t="s">
        <v>15</v>
      </c>
      <c r="F2098" s="3">
        <v>6</v>
      </c>
      <c r="H2098" s="1" t="s">
        <v>68</v>
      </c>
      <c r="J2098" t="s">
        <v>1183</v>
      </c>
      <c r="K2098" t="s">
        <v>1184</v>
      </c>
      <c r="L2098" t="s">
        <v>1185</v>
      </c>
    </row>
    <row r="2099" spans="1:12" ht="15">
      <c r="A2099" s="4">
        <v>201406</v>
      </c>
      <c r="B2099" t="s">
        <v>1181</v>
      </c>
      <c r="C2099" s="5">
        <v>6540764</v>
      </c>
      <c r="D2099" s="2" t="s">
        <v>1217</v>
      </c>
      <c r="E2099" s="2" t="s">
        <v>15</v>
      </c>
      <c r="F2099" s="3">
        <v>0</v>
      </c>
      <c r="H2099" s="1" t="s">
        <v>68</v>
      </c>
      <c r="J2099" t="s">
        <v>1183</v>
      </c>
      <c r="K2099" t="s">
        <v>1184</v>
      </c>
      <c r="L2099" t="s">
        <v>1185</v>
      </c>
    </row>
    <row r="2100" spans="1:12" ht="15">
      <c r="A2100" s="4">
        <v>201406</v>
      </c>
      <c r="B2100" t="s">
        <v>1181</v>
      </c>
      <c r="C2100" s="5">
        <v>6540764</v>
      </c>
      <c r="D2100" s="2" t="s">
        <v>1217</v>
      </c>
      <c r="E2100" s="2" t="s">
        <v>15</v>
      </c>
      <c r="F2100" s="3">
        <v>0</v>
      </c>
      <c r="H2100" s="1" t="s">
        <v>68</v>
      </c>
      <c r="J2100" t="s">
        <v>1183</v>
      </c>
      <c r="K2100" t="s">
        <v>1184</v>
      </c>
      <c r="L2100" t="s">
        <v>1185</v>
      </c>
    </row>
    <row r="2101" spans="1:12" ht="15">
      <c r="A2101" s="4">
        <v>201406</v>
      </c>
      <c r="B2101" t="s">
        <v>1181</v>
      </c>
      <c r="C2101" s="5">
        <v>6540764</v>
      </c>
      <c r="D2101" s="2" t="s">
        <v>1217</v>
      </c>
      <c r="E2101" s="2" t="s">
        <v>15</v>
      </c>
      <c r="F2101" s="3">
        <v>24</v>
      </c>
      <c r="H2101" s="1" t="s">
        <v>68</v>
      </c>
      <c r="J2101" t="s">
        <v>1183</v>
      </c>
      <c r="K2101" t="s">
        <v>1184</v>
      </c>
      <c r="L2101" t="s">
        <v>1185</v>
      </c>
    </row>
    <row r="2102" spans="1:12" ht="15">
      <c r="A2102" s="4">
        <v>201402</v>
      </c>
      <c r="B2102" t="s">
        <v>1181</v>
      </c>
      <c r="C2102" s="5">
        <v>6544965</v>
      </c>
      <c r="D2102" s="2" t="s">
        <v>976</v>
      </c>
      <c r="E2102" s="2" t="s">
        <v>15</v>
      </c>
      <c r="F2102" s="3">
        <v>10.22</v>
      </c>
      <c r="H2102" s="1" t="s">
        <v>14</v>
      </c>
      <c r="I2102" t="s">
        <v>383</v>
      </c>
      <c r="J2102" t="s">
        <v>1183</v>
      </c>
      <c r="K2102" t="s">
        <v>1184</v>
      </c>
      <c r="L2102" t="s">
        <v>1185</v>
      </c>
    </row>
    <row r="2103" spans="1:12" ht="15">
      <c r="A2103" s="4">
        <v>201404</v>
      </c>
      <c r="B2103" t="s">
        <v>1181</v>
      </c>
      <c r="C2103" s="5">
        <v>6554746</v>
      </c>
      <c r="D2103" s="2" t="s">
        <v>1219</v>
      </c>
      <c r="E2103" s="2" t="s">
        <v>15</v>
      </c>
      <c r="F2103" s="3">
        <v>18</v>
      </c>
      <c r="H2103" s="1" t="s">
        <v>14</v>
      </c>
      <c r="I2103" t="s">
        <v>1218</v>
      </c>
      <c r="J2103" t="s">
        <v>1183</v>
      </c>
      <c r="K2103" t="s">
        <v>1184</v>
      </c>
      <c r="L2103" t="s">
        <v>1185</v>
      </c>
    </row>
    <row r="2104" spans="1:12" ht="15">
      <c r="A2104" s="4">
        <v>201404</v>
      </c>
      <c r="B2104" t="s">
        <v>1181</v>
      </c>
      <c r="C2104" s="5">
        <v>6554746</v>
      </c>
      <c r="D2104" s="2" t="s">
        <v>1219</v>
      </c>
      <c r="E2104" s="2" t="s">
        <v>15</v>
      </c>
      <c r="F2104" s="3">
        <v>46.05</v>
      </c>
      <c r="H2104" s="1" t="s">
        <v>14</v>
      </c>
      <c r="I2104" t="s">
        <v>1220</v>
      </c>
      <c r="J2104" t="s">
        <v>1183</v>
      </c>
      <c r="K2104" t="s">
        <v>1184</v>
      </c>
      <c r="L2104" t="s">
        <v>1185</v>
      </c>
    </row>
    <row r="2105" spans="1:12" ht="15">
      <c r="A2105" s="4">
        <v>201404</v>
      </c>
      <c r="B2105" t="s">
        <v>1181</v>
      </c>
      <c r="C2105" s="5">
        <v>6554746</v>
      </c>
      <c r="D2105" s="2" t="s">
        <v>1219</v>
      </c>
      <c r="E2105" s="2" t="s">
        <v>15</v>
      </c>
      <c r="F2105" s="3">
        <v>160.24</v>
      </c>
      <c r="H2105" s="1" t="s">
        <v>14</v>
      </c>
      <c r="I2105" t="s">
        <v>1221</v>
      </c>
      <c r="J2105" t="s">
        <v>1183</v>
      </c>
      <c r="K2105" t="s">
        <v>1184</v>
      </c>
      <c r="L2105" t="s">
        <v>1185</v>
      </c>
    </row>
    <row r="2106" spans="1:12" ht="15">
      <c r="A2106" s="4">
        <v>201404</v>
      </c>
      <c r="B2106" t="s">
        <v>1181</v>
      </c>
      <c r="C2106" s="5">
        <v>6554746</v>
      </c>
      <c r="D2106" s="2" t="s">
        <v>1219</v>
      </c>
      <c r="E2106" s="2" t="s">
        <v>15</v>
      </c>
      <c r="F2106" s="3">
        <v>2790.74</v>
      </c>
      <c r="H2106" s="1" t="s">
        <v>14</v>
      </c>
      <c r="I2106" t="s">
        <v>1222</v>
      </c>
      <c r="J2106" t="s">
        <v>1183</v>
      </c>
      <c r="K2106" t="s">
        <v>1184</v>
      </c>
      <c r="L2106" t="s">
        <v>1185</v>
      </c>
    </row>
    <row r="2107" spans="1:12" ht="15">
      <c r="A2107" s="4">
        <v>201404</v>
      </c>
      <c r="B2107" t="s">
        <v>1181</v>
      </c>
      <c r="C2107" s="5">
        <v>6554746</v>
      </c>
      <c r="D2107" s="2" t="s">
        <v>1219</v>
      </c>
      <c r="E2107" s="2" t="s">
        <v>15</v>
      </c>
      <c r="F2107" s="3">
        <v>3188.17</v>
      </c>
      <c r="H2107" s="1" t="s">
        <v>14</v>
      </c>
      <c r="I2107" t="s">
        <v>1223</v>
      </c>
      <c r="J2107" t="s">
        <v>1183</v>
      </c>
      <c r="K2107" t="s">
        <v>1184</v>
      </c>
      <c r="L2107" t="s">
        <v>1185</v>
      </c>
    </row>
    <row r="2108" spans="1:12" ht="15">
      <c r="A2108" s="4">
        <v>201405</v>
      </c>
      <c r="B2108" t="s">
        <v>1181</v>
      </c>
      <c r="C2108" s="5">
        <v>6554746</v>
      </c>
      <c r="D2108" s="2" t="s">
        <v>1219</v>
      </c>
      <c r="E2108" s="2" t="s">
        <v>15</v>
      </c>
      <c r="F2108" s="3">
        <v>-2860.51</v>
      </c>
      <c r="H2108" s="1" t="s">
        <v>43</v>
      </c>
      <c r="I2108" t="s">
        <v>1222</v>
      </c>
      <c r="J2108" t="s">
        <v>1183</v>
      </c>
      <c r="K2108" t="s">
        <v>1184</v>
      </c>
      <c r="L2108" t="s">
        <v>1185</v>
      </c>
    </row>
    <row r="2109" spans="1:12" ht="15">
      <c r="A2109" s="4">
        <v>201405</v>
      </c>
      <c r="B2109" t="s">
        <v>1181</v>
      </c>
      <c r="C2109" s="5">
        <v>6554746</v>
      </c>
      <c r="D2109" s="2" t="s">
        <v>1219</v>
      </c>
      <c r="E2109" s="2" t="s">
        <v>15</v>
      </c>
      <c r="F2109" s="3">
        <v>-18.48</v>
      </c>
      <c r="H2109" s="1" t="s">
        <v>43</v>
      </c>
      <c r="I2109" t="s">
        <v>1218</v>
      </c>
      <c r="J2109" t="s">
        <v>1183</v>
      </c>
      <c r="K2109" t="s">
        <v>1184</v>
      </c>
      <c r="L2109" t="s">
        <v>1185</v>
      </c>
    </row>
    <row r="2110" spans="1:13" ht="15">
      <c r="A2110" s="4">
        <v>201407</v>
      </c>
      <c r="B2110" t="s">
        <v>1181</v>
      </c>
      <c r="C2110" s="5">
        <v>6554746</v>
      </c>
      <c r="D2110" s="2" t="s">
        <v>1219</v>
      </c>
      <c r="E2110" s="2" t="s">
        <v>15</v>
      </c>
      <c r="F2110" s="3">
        <v>3876.92</v>
      </c>
      <c r="G2110" t="s">
        <v>119</v>
      </c>
      <c r="H2110" s="1" t="s">
        <v>44</v>
      </c>
      <c r="I2110" t="e">
        <f>-labor-Service work FOR Diamond Power</f>
        <v>#NAME?</v>
      </c>
      <c r="J2110" t="s">
        <v>1183</v>
      </c>
      <c r="K2110" t="s">
        <v>1184</v>
      </c>
      <c r="L2110" t="s">
        <v>1185</v>
      </c>
      <c r="M2110">
        <v>903050</v>
      </c>
    </row>
    <row r="2111" spans="1:14" ht="15">
      <c r="A2111" s="4">
        <v>201404</v>
      </c>
      <c r="B2111" t="s">
        <v>1181</v>
      </c>
      <c r="C2111" s="5">
        <v>6554746</v>
      </c>
      <c r="D2111" s="2" t="s">
        <v>1219</v>
      </c>
      <c r="E2111" s="2" t="s">
        <v>15</v>
      </c>
      <c r="F2111" s="3">
        <v>143.52</v>
      </c>
      <c r="G2111" t="s">
        <v>57</v>
      </c>
      <c r="H2111" s="1" t="s">
        <v>60</v>
      </c>
      <c r="I2111" t="e">
        <f>-66830/KYCAR46007/1</f>
        <v>#NAME?</v>
      </c>
      <c r="J2111" t="s">
        <v>1183</v>
      </c>
      <c r="K2111" t="s">
        <v>1184</v>
      </c>
      <c r="L2111" t="s">
        <v>1185</v>
      </c>
      <c r="N2111" t="s">
        <v>58</v>
      </c>
    </row>
    <row r="2112" spans="1:14" ht="15">
      <c r="A2112" s="4">
        <v>201404</v>
      </c>
      <c r="B2112" t="s">
        <v>1181</v>
      </c>
      <c r="C2112" s="5">
        <v>6554746</v>
      </c>
      <c r="D2112" s="2" t="s">
        <v>1219</v>
      </c>
      <c r="E2112" s="2" t="s">
        <v>15</v>
      </c>
      <c r="F2112" s="3">
        <v>580.09</v>
      </c>
      <c r="G2112" t="s">
        <v>57</v>
      </c>
      <c r="H2112" s="1" t="s">
        <v>60</v>
      </c>
      <c r="I2112">
        <f>-12807/423569/1</f>
        <v>-0.03023592378101325</v>
      </c>
      <c r="J2112" t="s">
        <v>1183</v>
      </c>
      <c r="K2112" t="s">
        <v>1184</v>
      </c>
      <c r="L2112" t="s">
        <v>1185</v>
      </c>
      <c r="N2112" t="s">
        <v>58</v>
      </c>
    </row>
    <row r="2113" spans="1:13" ht="15">
      <c r="A2113" s="4">
        <v>201404</v>
      </c>
      <c r="B2113" t="s">
        <v>1181</v>
      </c>
      <c r="C2113" s="5">
        <v>6554746</v>
      </c>
      <c r="D2113" s="2" t="s">
        <v>1219</v>
      </c>
      <c r="E2113" s="2" t="s">
        <v>15</v>
      </c>
      <c r="F2113" s="3">
        <v>2392</v>
      </c>
      <c r="G2113" t="s">
        <v>109</v>
      </c>
      <c r="H2113" s="1" t="s">
        <v>60</v>
      </c>
      <c r="I2113" t="e">
        <f>-Hastelloy fastener KIT FOR TC2 Water Canons</f>
        <v>#NAME?</v>
      </c>
      <c r="J2113" t="s">
        <v>1183</v>
      </c>
      <c r="K2113" t="s">
        <v>1184</v>
      </c>
      <c r="L2113" t="s">
        <v>1185</v>
      </c>
      <c r="M2113">
        <v>903542</v>
      </c>
    </row>
    <row r="2114" spans="1:13" ht="15">
      <c r="A2114" s="4">
        <v>201404</v>
      </c>
      <c r="B2114" t="s">
        <v>1181</v>
      </c>
      <c r="C2114" s="5">
        <v>6554746</v>
      </c>
      <c r="D2114" s="2" t="s">
        <v>1219</v>
      </c>
      <c r="E2114" s="2" t="s">
        <v>15</v>
      </c>
      <c r="F2114" s="3">
        <v>9668.22</v>
      </c>
      <c r="G2114" t="s">
        <v>941</v>
      </c>
      <c r="H2114" s="1" t="s">
        <v>60</v>
      </c>
      <c r="I2114" t="e">
        <f>-Wallbox ASSEMBLY</f>
        <v>#NAME?</v>
      </c>
      <c r="J2114" t="s">
        <v>1183</v>
      </c>
      <c r="K2114" t="s">
        <v>1184</v>
      </c>
      <c r="L2114" t="s">
        <v>1185</v>
      </c>
      <c r="M2114">
        <v>903507</v>
      </c>
    </row>
    <row r="2115" spans="1:12" ht="15">
      <c r="A2115" s="4">
        <v>201403</v>
      </c>
      <c r="B2115" t="s">
        <v>1181</v>
      </c>
      <c r="C2115" s="5">
        <v>6554746</v>
      </c>
      <c r="D2115" s="2" t="s">
        <v>1219</v>
      </c>
      <c r="E2115" s="2" t="s">
        <v>15</v>
      </c>
      <c r="F2115" s="3">
        <v>1.13</v>
      </c>
      <c r="H2115" s="1" t="s">
        <v>66</v>
      </c>
      <c r="I2115" t="s">
        <v>67</v>
      </c>
      <c r="J2115" t="s">
        <v>1183</v>
      </c>
      <c r="K2115" t="s">
        <v>1184</v>
      </c>
      <c r="L2115" t="s">
        <v>1185</v>
      </c>
    </row>
    <row r="2116" spans="1:12" ht="15">
      <c r="A2116" s="4">
        <v>201404</v>
      </c>
      <c r="B2116" t="s">
        <v>1181</v>
      </c>
      <c r="C2116" s="5">
        <v>6554746</v>
      </c>
      <c r="D2116" s="2" t="s">
        <v>1219</v>
      </c>
      <c r="E2116" s="2" t="s">
        <v>15</v>
      </c>
      <c r="F2116" s="3">
        <v>2.06</v>
      </c>
      <c r="H2116" s="1" t="s">
        <v>66</v>
      </c>
      <c r="I2116" t="s">
        <v>67</v>
      </c>
      <c r="J2116" t="s">
        <v>1183</v>
      </c>
      <c r="K2116" t="s">
        <v>1184</v>
      </c>
      <c r="L2116" t="s">
        <v>1185</v>
      </c>
    </row>
    <row r="2117" spans="1:12" ht="15">
      <c r="A2117" s="4">
        <v>201405</v>
      </c>
      <c r="B2117" t="s">
        <v>1181</v>
      </c>
      <c r="C2117" s="5">
        <v>6554746</v>
      </c>
      <c r="D2117" s="2" t="s">
        <v>1219</v>
      </c>
      <c r="E2117" s="2" t="s">
        <v>15</v>
      </c>
      <c r="F2117" s="3">
        <v>0.89</v>
      </c>
      <c r="H2117" s="1" t="s">
        <v>66</v>
      </c>
      <c r="I2117" t="s">
        <v>67</v>
      </c>
      <c r="J2117" t="s">
        <v>1183</v>
      </c>
      <c r="K2117" t="s">
        <v>1184</v>
      </c>
      <c r="L2117" t="s">
        <v>1185</v>
      </c>
    </row>
    <row r="2118" spans="1:12" ht="15">
      <c r="A2118" s="4">
        <v>201403</v>
      </c>
      <c r="B2118" t="s">
        <v>1181</v>
      </c>
      <c r="C2118" s="5">
        <v>6554746</v>
      </c>
      <c r="D2118" s="2" t="s">
        <v>1219</v>
      </c>
      <c r="E2118" s="2" t="s">
        <v>15</v>
      </c>
      <c r="F2118" s="3">
        <v>0</v>
      </c>
      <c r="H2118" s="1" t="s">
        <v>68</v>
      </c>
      <c r="J2118" t="s">
        <v>1183</v>
      </c>
      <c r="K2118" t="s">
        <v>1184</v>
      </c>
      <c r="L2118" t="s">
        <v>1185</v>
      </c>
    </row>
    <row r="2119" spans="1:12" ht="15">
      <c r="A2119" s="4">
        <v>201403</v>
      </c>
      <c r="B2119" t="s">
        <v>1181</v>
      </c>
      <c r="C2119" s="5">
        <v>6554746</v>
      </c>
      <c r="D2119" s="2" t="s">
        <v>1219</v>
      </c>
      <c r="E2119" s="2" t="s">
        <v>15</v>
      </c>
      <c r="F2119" s="3">
        <v>6</v>
      </c>
      <c r="H2119" s="1" t="s">
        <v>68</v>
      </c>
      <c r="J2119" t="s">
        <v>1183</v>
      </c>
      <c r="K2119" t="s">
        <v>1184</v>
      </c>
      <c r="L2119" t="s">
        <v>1185</v>
      </c>
    </row>
    <row r="2120" spans="1:12" ht="15">
      <c r="A2120" s="4">
        <v>201405</v>
      </c>
      <c r="B2120" t="s">
        <v>1181</v>
      </c>
      <c r="C2120" s="5">
        <v>6554746</v>
      </c>
      <c r="D2120" s="2" t="s">
        <v>1219</v>
      </c>
      <c r="E2120" s="2" t="s">
        <v>15</v>
      </c>
      <c r="F2120" s="3">
        <v>0</v>
      </c>
      <c r="H2120" s="1" t="s">
        <v>68</v>
      </c>
      <c r="J2120" t="s">
        <v>1183</v>
      </c>
      <c r="K2120" t="s">
        <v>1184</v>
      </c>
      <c r="L2120" t="s">
        <v>1185</v>
      </c>
    </row>
    <row r="2121" spans="1:12" ht="15">
      <c r="A2121" s="4">
        <v>201405</v>
      </c>
      <c r="B2121" t="s">
        <v>1181</v>
      </c>
      <c r="C2121" s="5">
        <v>6554746</v>
      </c>
      <c r="D2121" s="2" t="s">
        <v>1219</v>
      </c>
      <c r="E2121" s="2" t="s">
        <v>15</v>
      </c>
      <c r="F2121" s="3">
        <v>6</v>
      </c>
      <c r="H2121" s="1" t="s">
        <v>68</v>
      </c>
      <c r="J2121" t="s">
        <v>1183</v>
      </c>
      <c r="K2121" t="s">
        <v>1184</v>
      </c>
      <c r="L2121" t="s">
        <v>1185</v>
      </c>
    </row>
    <row r="2122" spans="1:14" ht="15">
      <c r="A2122" s="4">
        <v>201404</v>
      </c>
      <c r="B2122" t="s">
        <v>1181</v>
      </c>
      <c r="C2122" s="5">
        <v>6554746</v>
      </c>
      <c r="D2122" s="2" t="s">
        <v>1219</v>
      </c>
      <c r="E2122" s="2" t="s">
        <v>15</v>
      </c>
      <c r="F2122" s="3">
        <v>11.82</v>
      </c>
      <c r="G2122" t="s">
        <v>57</v>
      </c>
      <c r="H2122" s="1" t="s">
        <v>69</v>
      </c>
      <c r="I2122" t="e">
        <f>-66830/KYCAR46007/1</f>
        <v>#NAME?</v>
      </c>
      <c r="J2122" t="s">
        <v>1183</v>
      </c>
      <c r="K2122" t="s">
        <v>1184</v>
      </c>
      <c r="L2122" t="s">
        <v>1185</v>
      </c>
      <c r="N2122" t="s">
        <v>58</v>
      </c>
    </row>
    <row r="2123" spans="1:12" ht="15">
      <c r="A2123" s="4">
        <v>201404</v>
      </c>
      <c r="B2123" t="s">
        <v>1181</v>
      </c>
      <c r="C2123" s="5">
        <v>6554746</v>
      </c>
      <c r="D2123" s="2" t="s">
        <v>1219</v>
      </c>
      <c r="E2123" s="2" t="s">
        <v>15</v>
      </c>
      <c r="F2123" s="3">
        <v>196.94</v>
      </c>
      <c r="G2123" t="s">
        <v>109</v>
      </c>
      <c r="H2123" s="1" t="s">
        <v>69</v>
      </c>
      <c r="I2123" t="e">
        <f>-freight</f>
        <v>#NAME?</v>
      </c>
      <c r="J2123" t="s">
        <v>1183</v>
      </c>
      <c r="K2123" t="s">
        <v>1184</v>
      </c>
      <c r="L2123" t="s">
        <v>1185</v>
      </c>
    </row>
    <row r="2124" spans="1:14" ht="15">
      <c r="A2124" s="4">
        <v>201406</v>
      </c>
      <c r="B2124" t="s">
        <v>1181</v>
      </c>
      <c r="C2124" s="5">
        <v>6554746</v>
      </c>
      <c r="D2124" s="2" t="s">
        <v>1219</v>
      </c>
      <c r="E2124" s="2" t="s">
        <v>15</v>
      </c>
      <c r="F2124" s="3">
        <v>5.29</v>
      </c>
      <c r="G2124" t="s">
        <v>57</v>
      </c>
      <c r="H2124" s="1" t="s">
        <v>69</v>
      </c>
      <c r="I2124">
        <f>-12807/42155/1</f>
        <v>-0.3038073775352864</v>
      </c>
      <c r="J2124" t="s">
        <v>1183</v>
      </c>
      <c r="K2124" t="s">
        <v>1184</v>
      </c>
      <c r="L2124" t="s">
        <v>1185</v>
      </c>
      <c r="N2124" t="s">
        <v>58</v>
      </c>
    </row>
    <row r="2125" spans="1:12" ht="15">
      <c r="A2125" s="4">
        <v>201406</v>
      </c>
      <c r="B2125" t="s">
        <v>1181</v>
      </c>
      <c r="C2125" s="5">
        <v>6554746</v>
      </c>
      <c r="D2125" s="2" t="s">
        <v>1219</v>
      </c>
      <c r="E2125" s="2" t="s">
        <v>15</v>
      </c>
      <c r="F2125" s="3">
        <v>88.24</v>
      </c>
      <c r="G2125" t="s">
        <v>941</v>
      </c>
      <c r="H2125" s="1" t="s">
        <v>69</v>
      </c>
      <c r="I2125" t="s">
        <v>1224</v>
      </c>
      <c r="J2125" t="s">
        <v>1183</v>
      </c>
      <c r="K2125" t="s">
        <v>1184</v>
      </c>
      <c r="L2125" t="s">
        <v>1185</v>
      </c>
    </row>
    <row r="2126" spans="1:12" ht="15">
      <c r="A2126" s="4">
        <v>201405</v>
      </c>
      <c r="B2126" t="s">
        <v>1181</v>
      </c>
      <c r="C2126" s="5">
        <v>6575444</v>
      </c>
      <c r="D2126" s="2" t="s">
        <v>1225</v>
      </c>
      <c r="E2126" s="2" t="s">
        <v>99</v>
      </c>
      <c r="F2126" s="3">
        <v>0.2</v>
      </c>
      <c r="H2126" s="1" t="s">
        <v>66</v>
      </c>
      <c r="I2126" t="s">
        <v>67</v>
      </c>
      <c r="J2126" t="s">
        <v>1183</v>
      </c>
      <c r="K2126" t="s">
        <v>1184</v>
      </c>
      <c r="L2126" t="s">
        <v>1185</v>
      </c>
    </row>
    <row r="2127" spans="1:12" ht="15">
      <c r="A2127" s="4">
        <v>201409</v>
      </c>
      <c r="B2127" t="s">
        <v>1181</v>
      </c>
      <c r="C2127" s="5">
        <v>6577117</v>
      </c>
      <c r="D2127" s="2" t="s">
        <v>1226</v>
      </c>
      <c r="E2127" s="2" t="s">
        <v>99</v>
      </c>
      <c r="F2127" s="3">
        <v>0.92</v>
      </c>
      <c r="H2127" s="1" t="s">
        <v>66</v>
      </c>
      <c r="I2127" t="s">
        <v>67</v>
      </c>
      <c r="J2127" t="s">
        <v>1183</v>
      </c>
      <c r="K2127" t="s">
        <v>1184</v>
      </c>
      <c r="L2127" t="s">
        <v>1185</v>
      </c>
    </row>
    <row r="2128" spans="1:13" ht="15">
      <c r="A2128" s="4">
        <v>201408</v>
      </c>
      <c r="B2128" t="s">
        <v>1181</v>
      </c>
      <c r="C2128" s="5">
        <v>6577385</v>
      </c>
      <c r="D2128" s="2" t="s">
        <v>1227</v>
      </c>
      <c r="E2128" s="2" t="s">
        <v>238</v>
      </c>
      <c r="F2128" s="3">
        <v>102.36</v>
      </c>
      <c r="G2128" t="s">
        <v>73</v>
      </c>
      <c r="H2128" s="1" t="s">
        <v>46</v>
      </c>
      <c r="I2128" t="s">
        <v>122</v>
      </c>
      <c r="J2128" t="s">
        <v>1183</v>
      </c>
      <c r="K2128" t="s">
        <v>1184</v>
      </c>
      <c r="L2128" t="s">
        <v>1185</v>
      </c>
      <c r="M2128">
        <v>910615</v>
      </c>
    </row>
    <row r="2129" spans="1:13" ht="15">
      <c r="A2129" s="4">
        <v>201410</v>
      </c>
      <c r="B2129" t="s">
        <v>1181</v>
      </c>
      <c r="C2129" s="5">
        <v>6577385</v>
      </c>
      <c r="D2129" s="2" t="s">
        <v>1227</v>
      </c>
      <c r="E2129" s="2" t="s">
        <v>238</v>
      </c>
      <c r="F2129" s="3">
        <v>542.26</v>
      </c>
      <c r="G2129" t="s">
        <v>47</v>
      </c>
      <c r="H2129" s="1" t="s">
        <v>46</v>
      </c>
      <c r="I2129" t="s">
        <v>1228</v>
      </c>
      <c r="J2129" t="s">
        <v>1183</v>
      </c>
      <c r="K2129" t="s">
        <v>1184</v>
      </c>
      <c r="L2129" t="s">
        <v>1185</v>
      </c>
      <c r="M2129">
        <v>914881</v>
      </c>
    </row>
    <row r="2130" spans="1:14" ht="15">
      <c r="A2130" s="4">
        <v>201407</v>
      </c>
      <c r="B2130" t="s">
        <v>1181</v>
      </c>
      <c r="C2130" s="5">
        <v>6577385</v>
      </c>
      <c r="D2130" s="2" t="s">
        <v>1227</v>
      </c>
      <c r="E2130" s="2" t="s">
        <v>238</v>
      </c>
      <c r="F2130" s="3">
        <v>295.2</v>
      </c>
      <c r="G2130" t="s">
        <v>57</v>
      </c>
      <c r="H2130" s="1" t="s">
        <v>60</v>
      </c>
      <c r="I2130">
        <f>-18016/818405/1</f>
        <v>-0.02201355074810149</v>
      </c>
      <c r="J2130" t="s">
        <v>1183</v>
      </c>
      <c r="K2130" t="s">
        <v>1184</v>
      </c>
      <c r="L2130" t="s">
        <v>1185</v>
      </c>
      <c r="N2130" t="s">
        <v>58</v>
      </c>
    </row>
    <row r="2131" spans="1:13" ht="15">
      <c r="A2131" s="4">
        <v>201407</v>
      </c>
      <c r="B2131" t="s">
        <v>1181</v>
      </c>
      <c r="C2131" s="5">
        <v>6577385</v>
      </c>
      <c r="D2131" s="2" t="s">
        <v>1227</v>
      </c>
      <c r="E2131" s="2" t="s">
        <v>238</v>
      </c>
      <c r="F2131" s="3">
        <v>4920</v>
      </c>
      <c r="G2131" t="s">
        <v>294</v>
      </c>
      <c r="H2131" s="1" t="s">
        <v>60</v>
      </c>
      <c r="I2131" t="s">
        <v>1229</v>
      </c>
      <c r="J2131" t="s">
        <v>1183</v>
      </c>
      <c r="K2131" t="s">
        <v>1184</v>
      </c>
      <c r="L2131" t="s">
        <v>1185</v>
      </c>
      <c r="M2131">
        <v>907909</v>
      </c>
    </row>
    <row r="2132" spans="1:14" ht="15">
      <c r="A2132" s="4">
        <v>201407</v>
      </c>
      <c r="B2132" t="s">
        <v>1181</v>
      </c>
      <c r="C2132" s="5">
        <v>6577385</v>
      </c>
      <c r="D2132" s="2" t="s">
        <v>1227</v>
      </c>
      <c r="E2132" s="2" t="s">
        <v>238</v>
      </c>
      <c r="F2132" s="3">
        <v>6</v>
      </c>
      <c r="G2132" t="s">
        <v>57</v>
      </c>
      <c r="H2132" s="1" t="s">
        <v>69</v>
      </c>
      <c r="I2132">
        <f>-18016/818405/1</f>
        <v>-0.02201355074810149</v>
      </c>
      <c r="J2132" t="s">
        <v>1183</v>
      </c>
      <c r="K2132" t="s">
        <v>1184</v>
      </c>
      <c r="L2132" t="s">
        <v>1185</v>
      </c>
      <c r="N2132" t="s">
        <v>58</v>
      </c>
    </row>
    <row r="2133" spans="1:12" ht="15">
      <c r="A2133" s="4">
        <v>201407</v>
      </c>
      <c r="B2133" t="s">
        <v>1181</v>
      </c>
      <c r="C2133" s="5">
        <v>6577385</v>
      </c>
      <c r="D2133" s="2" t="s">
        <v>1227</v>
      </c>
      <c r="E2133" s="2" t="s">
        <v>238</v>
      </c>
      <c r="F2133" s="3">
        <v>100</v>
      </c>
      <c r="G2133" t="s">
        <v>294</v>
      </c>
      <c r="H2133" s="1" t="s">
        <v>69</v>
      </c>
      <c r="I2133" t="e">
        <f>-freight</f>
        <v>#NAME?</v>
      </c>
      <c r="J2133" t="s">
        <v>1183</v>
      </c>
      <c r="K2133" t="s">
        <v>1184</v>
      </c>
      <c r="L2133" t="s">
        <v>1185</v>
      </c>
    </row>
    <row r="2134" spans="1:13" ht="15">
      <c r="A2134" s="4">
        <v>201407</v>
      </c>
      <c r="B2134" t="s">
        <v>1181</v>
      </c>
      <c r="C2134" s="5">
        <v>6579222</v>
      </c>
      <c r="D2134" s="2" t="s">
        <v>1231</v>
      </c>
      <c r="E2134" s="2" t="s">
        <v>261</v>
      </c>
      <c r="F2134" s="3">
        <v>16250</v>
      </c>
      <c r="G2134" t="s">
        <v>1230</v>
      </c>
      <c r="H2134" s="1" t="s">
        <v>44</v>
      </c>
      <c r="I2134" t="e">
        <f>-labor-Engineered and installed box with CLAMP FOR tube leak.</f>
        <v>#NAME?</v>
      </c>
      <c r="J2134" t="s">
        <v>1183</v>
      </c>
      <c r="K2134" t="s">
        <v>1184</v>
      </c>
      <c r="L2134" t="s">
        <v>1185</v>
      </c>
      <c r="M2134">
        <v>908566</v>
      </c>
    </row>
    <row r="2135" spans="1:13" ht="15">
      <c r="A2135" s="4">
        <v>201408</v>
      </c>
      <c r="B2135" t="s">
        <v>1181</v>
      </c>
      <c r="C2135" s="5">
        <v>6579222</v>
      </c>
      <c r="D2135" s="2" t="s">
        <v>1231</v>
      </c>
      <c r="E2135" s="2" t="s">
        <v>261</v>
      </c>
      <c r="F2135" s="3">
        <v>6042.21</v>
      </c>
      <c r="G2135" t="s">
        <v>72</v>
      </c>
      <c r="H2135" s="1" t="s">
        <v>44</v>
      </c>
      <c r="I2135" t="e">
        <f>-labor-Install END caps on TC2 Seperator Vessel instrument line</f>
        <v>#NAME?</v>
      </c>
      <c r="J2135" t="s">
        <v>1183</v>
      </c>
      <c r="K2135" t="s">
        <v>1184</v>
      </c>
      <c r="L2135" t="s">
        <v>1185</v>
      </c>
      <c r="M2135">
        <v>908257</v>
      </c>
    </row>
    <row r="2136" spans="1:13" ht="15">
      <c r="A2136" s="4">
        <v>201406</v>
      </c>
      <c r="B2136" t="s">
        <v>1181</v>
      </c>
      <c r="C2136" s="5">
        <v>6579222</v>
      </c>
      <c r="D2136" s="2" t="s">
        <v>1231</v>
      </c>
      <c r="E2136" s="2" t="s">
        <v>261</v>
      </c>
      <c r="F2136" s="3">
        <v>80.43</v>
      </c>
      <c r="G2136" t="s">
        <v>119</v>
      </c>
      <c r="H2136" s="1" t="s">
        <v>46</v>
      </c>
      <c r="I2136" t="s">
        <v>144</v>
      </c>
      <c r="J2136" t="s">
        <v>1183</v>
      </c>
      <c r="K2136" t="s">
        <v>1184</v>
      </c>
      <c r="L2136" t="s">
        <v>1185</v>
      </c>
      <c r="M2136">
        <v>907195</v>
      </c>
    </row>
    <row r="2137" spans="1:13" ht="15">
      <c r="A2137" s="4">
        <v>201408</v>
      </c>
      <c r="B2137" t="s">
        <v>1181</v>
      </c>
      <c r="C2137" s="5">
        <v>6579222</v>
      </c>
      <c r="D2137" s="2" t="s">
        <v>1231</v>
      </c>
      <c r="E2137" s="2" t="s">
        <v>261</v>
      </c>
      <c r="F2137" s="3">
        <v>569.38</v>
      </c>
      <c r="G2137" t="s">
        <v>73</v>
      </c>
      <c r="H2137" s="1" t="s">
        <v>46</v>
      </c>
      <c r="I2137" t="s">
        <v>122</v>
      </c>
      <c r="J2137" t="s">
        <v>1183</v>
      </c>
      <c r="K2137" t="s">
        <v>1184</v>
      </c>
      <c r="L2137" t="s">
        <v>1185</v>
      </c>
      <c r="M2137">
        <v>910615</v>
      </c>
    </row>
    <row r="2138" spans="1:14" ht="15">
      <c r="A2138" s="4">
        <v>201407</v>
      </c>
      <c r="B2138" t="s">
        <v>1181</v>
      </c>
      <c r="C2138" s="5">
        <v>6579222</v>
      </c>
      <c r="D2138" s="2" t="s">
        <v>1231</v>
      </c>
      <c r="E2138" s="2" t="s">
        <v>261</v>
      </c>
      <c r="F2138" s="3">
        <v>84.43</v>
      </c>
      <c r="G2138" t="s">
        <v>57</v>
      </c>
      <c r="H2138" s="1" t="s">
        <v>60</v>
      </c>
      <c r="I2138">
        <f>-72123/4175517/1</f>
        <v>-0.0172728311248643</v>
      </c>
      <c r="J2138" t="s">
        <v>1183</v>
      </c>
      <c r="K2138" t="s">
        <v>1184</v>
      </c>
      <c r="L2138" t="s">
        <v>1185</v>
      </c>
      <c r="N2138" t="s">
        <v>58</v>
      </c>
    </row>
    <row r="2139" spans="1:13" ht="15">
      <c r="A2139" s="4">
        <v>201407</v>
      </c>
      <c r="B2139" t="s">
        <v>1181</v>
      </c>
      <c r="C2139" s="5">
        <v>6579222</v>
      </c>
      <c r="D2139" s="2" t="s">
        <v>1231</v>
      </c>
      <c r="E2139" s="2" t="s">
        <v>261</v>
      </c>
      <c r="F2139" s="3">
        <v>1407.14</v>
      </c>
      <c r="G2139" t="s">
        <v>110</v>
      </c>
      <c r="H2139" s="1" t="s">
        <v>60</v>
      </c>
      <c r="I2139" t="s">
        <v>1232</v>
      </c>
      <c r="J2139" t="s">
        <v>1183</v>
      </c>
      <c r="K2139" t="s">
        <v>1184</v>
      </c>
      <c r="L2139" t="s">
        <v>1185</v>
      </c>
      <c r="M2139">
        <v>908239</v>
      </c>
    </row>
    <row r="2140" spans="1:13" ht="15">
      <c r="A2140" s="4">
        <v>201408</v>
      </c>
      <c r="B2140" t="s">
        <v>1181</v>
      </c>
      <c r="C2140" s="5">
        <v>6587156</v>
      </c>
      <c r="D2140" s="2" t="s">
        <v>1233</v>
      </c>
      <c r="E2140" s="2" t="s">
        <v>261</v>
      </c>
      <c r="F2140" s="3">
        <v>19183.83</v>
      </c>
      <c r="G2140" t="s">
        <v>72</v>
      </c>
      <c r="H2140" s="1" t="s">
        <v>44</v>
      </c>
      <c r="I2140" t="e">
        <f>-labor-REPAIR TC2 leak on right Water wall.</f>
        <v>#NAME?</v>
      </c>
      <c r="J2140" t="s">
        <v>1183</v>
      </c>
      <c r="K2140" t="s">
        <v>1184</v>
      </c>
      <c r="L2140" t="s">
        <v>1185</v>
      </c>
      <c r="M2140">
        <v>908565</v>
      </c>
    </row>
    <row r="2141" spans="1:13" ht="15">
      <c r="A2141" s="4">
        <v>201409</v>
      </c>
      <c r="B2141" t="s">
        <v>1181</v>
      </c>
      <c r="C2141" s="5">
        <v>6587156</v>
      </c>
      <c r="D2141" s="2" t="s">
        <v>1233</v>
      </c>
      <c r="E2141" s="2" t="s">
        <v>261</v>
      </c>
      <c r="F2141" s="3">
        <v>6209.75</v>
      </c>
      <c r="G2141" t="s">
        <v>73</v>
      </c>
      <c r="H2141" s="1" t="s">
        <v>44</v>
      </c>
      <c r="I2141" t="e">
        <f>-Payment of Invoice-FOR scaffolding erection and dismantle at TC2 furnace at Trimble (Inv181624)</f>
        <v>#NAME?</v>
      </c>
      <c r="J2141" t="s">
        <v>1183</v>
      </c>
      <c r="K2141" t="s">
        <v>1184</v>
      </c>
      <c r="L2141" t="s">
        <v>1185</v>
      </c>
      <c r="M2141">
        <v>913327</v>
      </c>
    </row>
    <row r="2142" spans="1:13" ht="15">
      <c r="A2142" s="4">
        <v>201409</v>
      </c>
      <c r="B2142" t="s">
        <v>1181</v>
      </c>
      <c r="C2142" s="5">
        <v>6587156</v>
      </c>
      <c r="D2142" s="2" t="s">
        <v>1233</v>
      </c>
      <c r="E2142" s="2" t="s">
        <v>261</v>
      </c>
      <c r="F2142" s="3">
        <v>1162.11</v>
      </c>
      <c r="G2142" t="s">
        <v>73</v>
      </c>
      <c r="H2142" s="1" t="s">
        <v>78</v>
      </c>
      <c r="I2142" t="e">
        <f>-Payment of Invoice-FOR scaffolding erection and dismantle at TC2 furnace at Trimble (Inv181624)</f>
        <v>#NAME?</v>
      </c>
      <c r="J2142" t="s">
        <v>1183</v>
      </c>
      <c r="K2142" t="s">
        <v>1184</v>
      </c>
      <c r="L2142" t="s">
        <v>1185</v>
      </c>
      <c r="M2142">
        <v>913327</v>
      </c>
    </row>
    <row r="2143" spans="1:12" ht="15">
      <c r="A2143" s="4">
        <v>201408</v>
      </c>
      <c r="B2143" t="s">
        <v>1181</v>
      </c>
      <c r="C2143" s="5">
        <v>6590258</v>
      </c>
      <c r="D2143" s="2" t="s">
        <v>1234</v>
      </c>
      <c r="E2143" s="2" t="s">
        <v>1176</v>
      </c>
      <c r="F2143" s="3">
        <v>0.86</v>
      </c>
      <c r="H2143" s="1" t="s">
        <v>66</v>
      </c>
      <c r="I2143" t="s">
        <v>67</v>
      </c>
      <c r="J2143" t="s">
        <v>1183</v>
      </c>
      <c r="K2143" t="s">
        <v>1184</v>
      </c>
      <c r="L2143" t="s">
        <v>1185</v>
      </c>
    </row>
    <row r="2144" spans="1:12" ht="15">
      <c r="A2144" s="4">
        <v>201410</v>
      </c>
      <c r="B2144" t="s">
        <v>1181</v>
      </c>
      <c r="C2144" s="5">
        <v>6590258</v>
      </c>
      <c r="D2144" s="2" t="s">
        <v>1234</v>
      </c>
      <c r="E2144" s="2" t="s">
        <v>1176</v>
      </c>
      <c r="F2144" s="3">
        <v>0.22</v>
      </c>
      <c r="H2144" s="1" t="s">
        <v>66</v>
      </c>
      <c r="I2144" t="s">
        <v>67</v>
      </c>
      <c r="J2144" t="s">
        <v>1183</v>
      </c>
      <c r="K2144" t="s">
        <v>1184</v>
      </c>
      <c r="L2144" t="s">
        <v>1185</v>
      </c>
    </row>
    <row r="2145" spans="1:12" ht="15">
      <c r="A2145" s="4">
        <v>201407</v>
      </c>
      <c r="B2145" t="s">
        <v>1181</v>
      </c>
      <c r="C2145" s="5">
        <v>6591724</v>
      </c>
      <c r="D2145" s="2" t="s">
        <v>1236</v>
      </c>
      <c r="E2145" s="2" t="s">
        <v>1237</v>
      </c>
      <c r="F2145" s="3">
        <v>4239</v>
      </c>
      <c r="H2145" s="1" t="s">
        <v>14</v>
      </c>
      <c r="I2145" t="s">
        <v>1235</v>
      </c>
      <c r="J2145" t="s">
        <v>1183</v>
      </c>
      <c r="K2145" t="s">
        <v>1184</v>
      </c>
      <c r="L2145" t="s">
        <v>1185</v>
      </c>
    </row>
    <row r="2146" spans="1:12" ht="15">
      <c r="A2146" s="4">
        <v>201407</v>
      </c>
      <c r="B2146" t="s">
        <v>1181</v>
      </c>
      <c r="C2146" s="5">
        <v>6591724</v>
      </c>
      <c r="D2146" s="2" t="s">
        <v>1236</v>
      </c>
      <c r="E2146" s="2" t="s">
        <v>1237</v>
      </c>
      <c r="F2146" s="3">
        <v>3.99</v>
      </c>
      <c r="H2146" s="1" t="s">
        <v>66</v>
      </c>
      <c r="I2146" t="s">
        <v>67</v>
      </c>
      <c r="J2146" t="s">
        <v>1183</v>
      </c>
      <c r="K2146" t="s">
        <v>1184</v>
      </c>
      <c r="L2146" t="s">
        <v>1185</v>
      </c>
    </row>
    <row r="2147" spans="1:12" ht="15">
      <c r="A2147" s="4">
        <v>201408</v>
      </c>
      <c r="B2147" t="s">
        <v>1181</v>
      </c>
      <c r="C2147" s="5">
        <v>6591724</v>
      </c>
      <c r="D2147" s="2" t="s">
        <v>1236</v>
      </c>
      <c r="E2147" s="2" t="s">
        <v>1237</v>
      </c>
      <c r="F2147" s="3">
        <v>0</v>
      </c>
      <c r="H2147" s="1" t="s">
        <v>66</v>
      </c>
      <c r="I2147" t="s">
        <v>67</v>
      </c>
      <c r="J2147" t="s">
        <v>1183</v>
      </c>
      <c r="K2147" t="s">
        <v>1184</v>
      </c>
      <c r="L2147" t="s">
        <v>1185</v>
      </c>
    </row>
    <row r="2148" spans="1:12" ht="15">
      <c r="A2148" s="4">
        <v>201407</v>
      </c>
      <c r="B2148" t="s">
        <v>1181</v>
      </c>
      <c r="C2148" s="5">
        <v>6591724</v>
      </c>
      <c r="D2148" s="2" t="s">
        <v>1236</v>
      </c>
      <c r="E2148" s="2" t="s">
        <v>1237</v>
      </c>
      <c r="F2148" s="3">
        <v>0</v>
      </c>
      <c r="H2148" s="1" t="s">
        <v>68</v>
      </c>
      <c r="J2148" t="s">
        <v>1183</v>
      </c>
      <c r="K2148" t="s">
        <v>1184</v>
      </c>
      <c r="L2148" t="s">
        <v>1185</v>
      </c>
    </row>
    <row r="2149" spans="1:12" ht="15">
      <c r="A2149" s="4">
        <v>201407</v>
      </c>
      <c r="B2149" t="s">
        <v>1181</v>
      </c>
      <c r="C2149" s="5">
        <v>6591724</v>
      </c>
      <c r="D2149" s="2" t="s">
        <v>1236</v>
      </c>
      <c r="E2149" s="2" t="s">
        <v>1237</v>
      </c>
      <c r="F2149" s="3">
        <v>0</v>
      </c>
      <c r="H2149" s="1" t="s">
        <v>68</v>
      </c>
      <c r="J2149" t="s">
        <v>1183</v>
      </c>
      <c r="K2149" t="s">
        <v>1184</v>
      </c>
      <c r="L2149" t="s">
        <v>1185</v>
      </c>
    </row>
    <row r="2150" spans="1:12" ht="15">
      <c r="A2150" s="4">
        <v>201407</v>
      </c>
      <c r="B2150" t="s">
        <v>1181</v>
      </c>
      <c r="C2150" s="5">
        <v>6591724</v>
      </c>
      <c r="D2150" s="2" t="s">
        <v>1236</v>
      </c>
      <c r="E2150" s="2" t="s">
        <v>1237</v>
      </c>
      <c r="F2150" s="3">
        <v>12</v>
      </c>
      <c r="H2150" s="1" t="s">
        <v>68</v>
      </c>
      <c r="J2150" t="s">
        <v>1183</v>
      </c>
      <c r="K2150" t="s">
        <v>1184</v>
      </c>
      <c r="L2150" t="s">
        <v>1185</v>
      </c>
    </row>
    <row r="2151" spans="1:12" ht="15">
      <c r="A2151" s="4">
        <v>201407</v>
      </c>
      <c r="B2151" t="s">
        <v>1181</v>
      </c>
      <c r="C2151" s="5">
        <v>6591854</v>
      </c>
      <c r="D2151" s="2" t="s">
        <v>1238</v>
      </c>
      <c r="E2151" s="2" t="s">
        <v>169</v>
      </c>
      <c r="F2151" s="3">
        <v>0.76</v>
      </c>
      <c r="H2151" s="1" t="s">
        <v>66</v>
      </c>
      <c r="I2151" t="s">
        <v>67</v>
      </c>
      <c r="J2151" t="s">
        <v>1183</v>
      </c>
      <c r="K2151" t="s">
        <v>1184</v>
      </c>
      <c r="L2151" t="s">
        <v>1185</v>
      </c>
    </row>
    <row r="2152" spans="1:12" ht="15">
      <c r="A2152" s="4">
        <v>201409</v>
      </c>
      <c r="B2152" t="s">
        <v>1181</v>
      </c>
      <c r="C2152" s="5">
        <v>6594504</v>
      </c>
      <c r="D2152" s="2" t="s">
        <v>1240</v>
      </c>
      <c r="E2152" s="2" t="s">
        <v>1176</v>
      </c>
      <c r="F2152" s="3">
        <v>0.9</v>
      </c>
      <c r="H2152" s="1" t="s">
        <v>14</v>
      </c>
      <c r="I2152" t="s">
        <v>1239</v>
      </c>
      <c r="J2152" t="s">
        <v>1183</v>
      </c>
      <c r="K2152" t="s">
        <v>1184</v>
      </c>
      <c r="L2152" t="s">
        <v>1185</v>
      </c>
    </row>
    <row r="2153" spans="1:12" ht="15">
      <c r="A2153" s="4">
        <v>201409</v>
      </c>
      <c r="B2153" t="s">
        <v>1181</v>
      </c>
      <c r="C2153" s="5">
        <v>6594504</v>
      </c>
      <c r="D2153" s="2" t="s">
        <v>1240</v>
      </c>
      <c r="E2153" s="2" t="s">
        <v>1176</v>
      </c>
      <c r="F2153" s="3">
        <v>1.12</v>
      </c>
      <c r="H2153" s="1" t="s">
        <v>14</v>
      </c>
      <c r="I2153" t="s">
        <v>363</v>
      </c>
      <c r="J2153" t="s">
        <v>1183</v>
      </c>
      <c r="K2153" t="s">
        <v>1184</v>
      </c>
      <c r="L2153" t="s">
        <v>1185</v>
      </c>
    </row>
    <row r="2154" spans="1:12" ht="15">
      <c r="A2154" s="4">
        <v>201409</v>
      </c>
      <c r="B2154" t="s">
        <v>1181</v>
      </c>
      <c r="C2154" s="5">
        <v>6594504</v>
      </c>
      <c r="D2154" s="2" t="s">
        <v>1240</v>
      </c>
      <c r="E2154" s="2" t="s">
        <v>1176</v>
      </c>
      <c r="F2154" s="3">
        <v>1.15</v>
      </c>
      <c r="H2154" s="1" t="s">
        <v>14</v>
      </c>
      <c r="I2154" t="s">
        <v>813</v>
      </c>
      <c r="J2154" t="s">
        <v>1183</v>
      </c>
      <c r="K2154" t="s">
        <v>1184</v>
      </c>
      <c r="L2154" t="s">
        <v>1185</v>
      </c>
    </row>
    <row r="2155" spans="1:12" ht="15">
      <c r="A2155" s="4">
        <v>201409</v>
      </c>
      <c r="B2155" t="s">
        <v>1181</v>
      </c>
      <c r="C2155" s="5">
        <v>6594504</v>
      </c>
      <c r="D2155" s="2" t="s">
        <v>1240</v>
      </c>
      <c r="E2155" s="2" t="s">
        <v>1176</v>
      </c>
      <c r="F2155" s="3">
        <v>10.15</v>
      </c>
      <c r="H2155" s="1" t="s">
        <v>14</v>
      </c>
      <c r="I2155" t="s">
        <v>505</v>
      </c>
      <c r="J2155" t="s">
        <v>1183</v>
      </c>
      <c r="K2155" t="s">
        <v>1184</v>
      </c>
      <c r="L2155" t="s">
        <v>1185</v>
      </c>
    </row>
    <row r="2156" spans="1:12" ht="15">
      <c r="A2156" s="4">
        <v>201409</v>
      </c>
      <c r="B2156" t="s">
        <v>1181</v>
      </c>
      <c r="C2156" s="5">
        <v>6594504</v>
      </c>
      <c r="D2156" s="2" t="s">
        <v>1240</v>
      </c>
      <c r="E2156" s="2" t="s">
        <v>1176</v>
      </c>
      <c r="F2156" s="3">
        <v>15.42</v>
      </c>
      <c r="H2156" s="1" t="s">
        <v>14</v>
      </c>
      <c r="I2156" t="s">
        <v>89</v>
      </c>
      <c r="J2156" t="s">
        <v>1183</v>
      </c>
      <c r="K2156" t="s">
        <v>1184</v>
      </c>
      <c r="L2156" t="s">
        <v>1185</v>
      </c>
    </row>
    <row r="2157" spans="1:14" ht="15">
      <c r="A2157" s="4">
        <v>201408</v>
      </c>
      <c r="B2157" t="s">
        <v>1181</v>
      </c>
      <c r="C2157" s="5">
        <v>6594504</v>
      </c>
      <c r="D2157" s="2" t="s">
        <v>1240</v>
      </c>
      <c r="E2157" s="2" t="s">
        <v>1176</v>
      </c>
      <c r="F2157" s="3">
        <v>0.97</v>
      </c>
      <c r="G2157" t="s">
        <v>57</v>
      </c>
      <c r="H2157" s="1" t="s">
        <v>60</v>
      </c>
      <c r="I2157">
        <f>-12807/432148/1</f>
        <v>-0.029635680368762553</v>
      </c>
      <c r="J2157" t="s">
        <v>1183</v>
      </c>
      <c r="K2157" t="s">
        <v>1184</v>
      </c>
      <c r="L2157" t="s">
        <v>1185</v>
      </c>
      <c r="N2157" t="s">
        <v>58</v>
      </c>
    </row>
    <row r="2158" spans="1:13" ht="15">
      <c r="A2158" s="4">
        <v>201408</v>
      </c>
      <c r="B2158" t="s">
        <v>1181</v>
      </c>
      <c r="C2158" s="5">
        <v>6594504</v>
      </c>
      <c r="D2158" s="2" t="s">
        <v>1240</v>
      </c>
      <c r="E2158" s="2" t="s">
        <v>1176</v>
      </c>
      <c r="F2158" s="3">
        <v>16.21</v>
      </c>
      <c r="G2158" t="s">
        <v>941</v>
      </c>
      <c r="H2158" s="1" t="s">
        <v>60</v>
      </c>
      <c r="I2158" t="s">
        <v>1241</v>
      </c>
      <c r="J2158" t="s">
        <v>1183</v>
      </c>
      <c r="K2158" t="s">
        <v>1184</v>
      </c>
      <c r="L2158" t="s">
        <v>1185</v>
      </c>
      <c r="M2158">
        <v>911206</v>
      </c>
    </row>
    <row r="2159" spans="1:14" ht="15">
      <c r="A2159" s="4">
        <v>201408</v>
      </c>
      <c r="B2159" t="s">
        <v>1181</v>
      </c>
      <c r="C2159" s="5">
        <v>6594504</v>
      </c>
      <c r="D2159" s="2" t="s">
        <v>1240</v>
      </c>
      <c r="E2159" s="2" t="s">
        <v>1176</v>
      </c>
      <c r="F2159" s="3">
        <v>47.55</v>
      </c>
      <c r="G2159" t="s">
        <v>57</v>
      </c>
      <c r="H2159" s="1" t="s">
        <v>60</v>
      </c>
      <c r="I2159">
        <f>-12807/431172/1</f>
        <v>-0.029702763630291392</v>
      </c>
      <c r="J2159" t="s">
        <v>1183</v>
      </c>
      <c r="K2159" t="s">
        <v>1184</v>
      </c>
      <c r="L2159" t="s">
        <v>1185</v>
      </c>
      <c r="N2159" t="s">
        <v>58</v>
      </c>
    </row>
    <row r="2160" spans="1:14" ht="15">
      <c r="A2160" s="4">
        <v>201408</v>
      </c>
      <c r="B2160" t="s">
        <v>1181</v>
      </c>
      <c r="C2160" s="5">
        <v>6594504</v>
      </c>
      <c r="D2160" s="2" t="s">
        <v>1240</v>
      </c>
      <c r="E2160" s="2" t="s">
        <v>1176</v>
      </c>
      <c r="F2160" s="3">
        <v>152.01</v>
      </c>
      <c r="G2160" t="s">
        <v>57</v>
      </c>
      <c r="H2160" s="1" t="s">
        <v>60</v>
      </c>
      <c r="I2160">
        <f>-12807/431761/1</f>
        <v>-0.029662243695007192</v>
      </c>
      <c r="J2160" t="s">
        <v>1183</v>
      </c>
      <c r="K2160" t="s">
        <v>1184</v>
      </c>
      <c r="L2160" t="s">
        <v>1185</v>
      </c>
      <c r="N2160" t="s">
        <v>58</v>
      </c>
    </row>
    <row r="2161" spans="1:13" ht="15">
      <c r="A2161" s="4">
        <v>201408</v>
      </c>
      <c r="B2161" t="s">
        <v>1181</v>
      </c>
      <c r="C2161" s="5">
        <v>6594504</v>
      </c>
      <c r="D2161" s="2" t="s">
        <v>1240</v>
      </c>
      <c r="E2161" s="2" t="s">
        <v>1176</v>
      </c>
      <c r="F2161" s="3">
        <v>213.55</v>
      </c>
      <c r="G2161" t="s">
        <v>941</v>
      </c>
      <c r="H2161" s="1" t="s">
        <v>60</v>
      </c>
      <c r="I2161" t="s">
        <v>1242</v>
      </c>
      <c r="J2161" t="s">
        <v>1183</v>
      </c>
      <c r="K2161" t="s">
        <v>1184</v>
      </c>
      <c r="L2161" t="s">
        <v>1185</v>
      </c>
      <c r="M2161">
        <v>910170</v>
      </c>
    </row>
    <row r="2162" spans="1:13" ht="15">
      <c r="A2162" s="4">
        <v>201408</v>
      </c>
      <c r="B2162" t="s">
        <v>1181</v>
      </c>
      <c r="C2162" s="5">
        <v>6594504</v>
      </c>
      <c r="D2162" s="2" t="s">
        <v>1240</v>
      </c>
      <c r="E2162" s="2" t="s">
        <v>1176</v>
      </c>
      <c r="F2162" s="3">
        <v>579.04</v>
      </c>
      <c r="G2162" t="s">
        <v>941</v>
      </c>
      <c r="H2162" s="1" t="s">
        <v>60</v>
      </c>
      <c r="I2162" t="s">
        <v>1243</v>
      </c>
      <c r="J2162" t="s">
        <v>1183</v>
      </c>
      <c r="K2162" t="s">
        <v>1184</v>
      </c>
      <c r="L2162" t="s">
        <v>1185</v>
      </c>
      <c r="M2162">
        <v>910170</v>
      </c>
    </row>
    <row r="2163" spans="1:13" ht="15">
      <c r="A2163" s="4">
        <v>201408</v>
      </c>
      <c r="B2163" t="s">
        <v>1181</v>
      </c>
      <c r="C2163" s="5">
        <v>6594504</v>
      </c>
      <c r="D2163" s="2" t="s">
        <v>1240</v>
      </c>
      <c r="E2163" s="2" t="s">
        <v>1176</v>
      </c>
      <c r="F2163" s="3">
        <v>2533.44</v>
      </c>
      <c r="G2163" t="s">
        <v>941</v>
      </c>
      <c r="H2163" s="1" t="s">
        <v>60</v>
      </c>
      <c r="I2163" t="s">
        <v>1244</v>
      </c>
      <c r="J2163" t="s">
        <v>1183</v>
      </c>
      <c r="K2163" t="s">
        <v>1184</v>
      </c>
      <c r="L2163" t="s">
        <v>1185</v>
      </c>
      <c r="M2163">
        <v>910170</v>
      </c>
    </row>
    <row r="2164" spans="1:14" ht="15">
      <c r="A2164" s="4">
        <v>201409</v>
      </c>
      <c r="B2164" t="s">
        <v>1181</v>
      </c>
      <c r="C2164" s="5">
        <v>6594504</v>
      </c>
      <c r="D2164" s="2" t="s">
        <v>1240</v>
      </c>
      <c r="E2164" s="2" t="s">
        <v>1176</v>
      </c>
      <c r="F2164" s="3">
        <v>4.51</v>
      </c>
      <c r="G2164" t="s">
        <v>57</v>
      </c>
      <c r="H2164" s="1" t="s">
        <v>60</v>
      </c>
      <c r="I2164">
        <f>-12807/434666/1</f>
        <v>-0.029464002245402215</v>
      </c>
      <c r="J2164" t="s">
        <v>1183</v>
      </c>
      <c r="K2164" t="s">
        <v>1184</v>
      </c>
      <c r="L2164" t="s">
        <v>1185</v>
      </c>
      <c r="N2164" t="s">
        <v>58</v>
      </c>
    </row>
    <row r="2165" spans="1:13" ht="15">
      <c r="A2165" s="4">
        <v>201409</v>
      </c>
      <c r="B2165" t="s">
        <v>1181</v>
      </c>
      <c r="C2165" s="5">
        <v>6594504</v>
      </c>
      <c r="D2165" s="2" t="s">
        <v>1240</v>
      </c>
      <c r="E2165" s="2" t="s">
        <v>1176</v>
      </c>
      <c r="F2165" s="3">
        <v>75.2</v>
      </c>
      <c r="G2165" t="s">
        <v>941</v>
      </c>
      <c r="H2165" s="1" t="s">
        <v>60</v>
      </c>
      <c r="I2165" t="e">
        <f>-chain,Energy-POWERLINK,Energy chain</f>
        <v>#NAME?</v>
      </c>
      <c r="J2165" t="s">
        <v>1183</v>
      </c>
      <c r="K2165" t="s">
        <v>1184</v>
      </c>
      <c r="L2165" t="s">
        <v>1185</v>
      </c>
      <c r="M2165">
        <v>913325</v>
      </c>
    </row>
    <row r="2166" spans="1:14" ht="15">
      <c r="A2166" s="4">
        <v>201408</v>
      </c>
      <c r="B2166" t="s">
        <v>1181</v>
      </c>
      <c r="C2166" s="5">
        <v>6595796</v>
      </c>
      <c r="D2166" s="2" t="s">
        <v>1245</v>
      </c>
      <c r="E2166" s="2" t="s">
        <v>169</v>
      </c>
      <c r="F2166" s="3">
        <v>64.59</v>
      </c>
      <c r="G2166" t="s">
        <v>57</v>
      </c>
      <c r="H2166" s="1" t="s">
        <v>60</v>
      </c>
      <c r="I2166">
        <f>-12807/432147/1</f>
        <v>-0.029635748946539024</v>
      </c>
      <c r="J2166" t="s">
        <v>1183</v>
      </c>
      <c r="K2166" t="s">
        <v>1184</v>
      </c>
      <c r="L2166" t="s">
        <v>1185</v>
      </c>
      <c r="N2166" t="s">
        <v>58</v>
      </c>
    </row>
    <row r="2167" spans="1:14" ht="15">
      <c r="A2167" s="4">
        <v>201408</v>
      </c>
      <c r="B2167" t="s">
        <v>1181</v>
      </c>
      <c r="C2167" s="5">
        <v>6595796</v>
      </c>
      <c r="D2167" s="2" t="s">
        <v>1245</v>
      </c>
      <c r="E2167" s="2" t="s">
        <v>169</v>
      </c>
      <c r="F2167" s="3">
        <v>84.26</v>
      </c>
      <c r="G2167" t="s">
        <v>57</v>
      </c>
      <c r="H2167" s="1" t="s">
        <v>60</v>
      </c>
      <c r="I2167">
        <f>-12807/432710/1</f>
        <v>-0.02959718980379469</v>
      </c>
      <c r="J2167" t="s">
        <v>1183</v>
      </c>
      <c r="K2167" t="s">
        <v>1184</v>
      </c>
      <c r="L2167" t="s">
        <v>1185</v>
      </c>
      <c r="N2167" t="s">
        <v>58</v>
      </c>
    </row>
    <row r="2168" spans="1:13" ht="15">
      <c r="A2168" s="4">
        <v>201408</v>
      </c>
      <c r="B2168" t="s">
        <v>1181</v>
      </c>
      <c r="C2168" s="5">
        <v>6595796</v>
      </c>
      <c r="D2168" s="2" t="s">
        <v>1245</v>
      </c>
      <c r="E2168" s="2" t="s">
        <v>169</v>
      </c>
      <c r="F2168" s="3">
        <v>1076.45</v>
      </c>
      <c r="G2168" t="s">
        <v>941</v>
      </c>
      <c r="H2168" s="1" t="s">
        <v>60</v>
      </c>
      <c r="I2168" t="s">
        <v>1246</v>
      </c>
      <c r="J2168" t="s">
        <v>1183</v>
      </c>
      <c r="K2168" t="s">
        <v>1184</v>
      </c>
      <c r="L2168" t="s">
        <v>1185</v>
      </c>
      <c r="M2168">
        <v>910734</v>
      </c>
    </row>
    <row r="2169" spans="1:13" ht="15">
      <c r="A2169" s="4">
        <v>201408</v>
      </c>
      <c r="B2169" t="s">
        <v>1181</v>
      </c>
      <c r="C2169" s="5">
        <v>6595796</v>
      </c>
      <c r="D2169" s="2" t="s">
        <v>1245</v>
      </c>
      <c r="E2169" s="2" t="s">
        <v>169</v>
      </c>
      <c r="F2169" s="3">
        <v>1404.28</v>
      </c>
      <c r="G2169" t="s">
        <v>941</v>
      </c>
      <c r="H2169" s="1" t="s">
        <v>60</v>
      </c>
      <c r="I2169" t="s">
        <v>1247</v>
      </c>
      <c r="J2169" t="s">
        <v>1183</v>
      </c>
      <c r="K2169" t="s">
        <v>1184</v>
      </c>
      <c r="L2169" t="s">
        <v>1185</v>
      </c>
      <c r="M2169">
        <v>910734</v>
      </c>
    </row>
    <row r="2170" spans="1:14" ht="15">
      <c r="A2170" s="4">
        <v>201410</v>
      </c>
      <c r="B2170" t="s">
        <v>1181</v>
      </c>
      <c r="C2170" s="5">
        <v>6595796</v>
      </c>
      <c r="D2170" s="2" t="s">
        <v>1245</v>
      </c>
      <c r="E2170" s="2" t="s">
        <v>169</v>
      </c>
      <c r="F2170" s="3">
        <v>182.58</v>
      </c>
      <c r="G2170" t="s">
        <v>57</v>
      </c>
      <c r="H2170" s="1" t="s">
        <v>60</v>
      </c>
      <c r="I2170">
        <f>-12807/435580/1</f>
        <v>-0.02940217640846687</v>
      </c>
      <c r="J2170" t="s">
        <v>1183</v>
      </c>
      <c r="K2170" t="s">
        <v>1184</v>
      </c>
      <c r="L2170" t="s">
        <v>1185</v>
      </c>
      <c r="N2170" t="s">
        <v>58</v>
      </c>
    </row>
    <row r="2171" spans="1:13" ht="15">
      <c r="A2171" s="4">
        <v>201410</v>
      </c>
      <c r="B2171" t="s">
        <v>1181</v>
      </c>
      <c r="C2171" s="5">
        <v>6595796</v>
      </c>
      <c r="D2171" s="2" t="s">
        <v>1245</v>
      </c>
      <c r="E2171" s="2" t="s">
        <v>169</v>
      </c>
      <c r="F2171" s="3">
        <v>3042.95</v>
      </c>
      <c r="G2171" t="s">
        <v>941</v>
      </c>
      <c r="H2171" s="1" t="s">
        <v>60</v>
      </c>
      <c r="I2171" t="e">
        <f>-KIT,VALVE-356152-KITA,HYDROJET VALVE KIT</f>
        <v>#NAME?</v>
      </c>
      <c r="J2171" t="s">
        <v>1183</v>
      </c>
      <c r="K2171" t="s">
        <v>1184</v>
      </c>
      <c r="L2171" t="s">
        <v>1185</v>
      </c>
      <c r="M2171">
        <v>912249</v>
      </c>
    </row>
    <row r="2172" spans="1:12" ht="15">
      <c r="A2172" s="4">
        <v>201409</v>
      </c>
      <c r="B2172" t="s">
        <v>1181</v>
      </c>
      <c r="C2172" s="5">
        <v>6595805</v>
      </c>
      <c r="D2172" s="2" t="s">
        <v>1248</v>
      </c>
      <c r="E2172" s="2" t="s">
        <v>238</v>
      </c>
      <c r="F2172" s="3">
        <v>1.51</v>
      </c>
      <c r="H2172" s="1" t="s">
        <v>66</v>
      </c>
      <c r="I2172" t="s">
        <v>67</v>
      </c>
      <c r="J2172" t="s">
        <v>1183</v>
      </c>
      <c r="K2172" t="s">
        <v>1184</v>
      </c>
      <c r="L2172" t="s">
        <v>1185</v>
      </c>
    </row>
    <row r="2173" spans="1:12" ht="15">
      <c r="A2173" s="4">
        <v>201409</v>
      </c>
      <c r="B2173" t="s">
        <v>1181</v>
      </c>
      <c r="C2173" s="5">
        <v>6605902</v>
      </c>
      <c r="D2173" s="2" t="s">
        <v>1249</v>
      </c>
      <c r="E2173" s="2" t="s">
        <v>238</v>
      </c>
      <c r="F2173" s="3">
        <v>7.46</v>
      </c>
      <c r="H2173" s="1" t="s">
        <v>14</v>
      </c>
      <c r="I2173" t="s">
        <v>380</v>
      </c>
      <c r="J2173" t="s">
        <v>1183</v>
      </c>
      <c r="K2173" t="s">
        <v>1184</v>
      </c>
      <c r="L2173" t="s">
        <v>1185</v>
      </c>
    </row>
    <row r="2174" spans="1:12" ht="15">
      <c r="A2174" s="4">
        <v>201409</v>
      </c>
      <c r="B2174" t="s">
        <v>1181</v>
      </c>
      <c r="C2174" s="5">
        <v>6605902</v>
      </c>
      <c r="D2174" s="2" t="s">
        <v>1249</v>
      </c>
      <c r="E2174" s="2" t="s">
        <v>238</v>
      </c>
      <c r="F2174" s="3">
        <v>11.13</v>
      </c>
      <c r="H2174" s="1" t="s">
        <v>14</v>
      </c>
      <c r="I2174" t="s">
        <v>39</v>
      </c>
      <c r="J2174" t="s">
        <v>1183</v>
      </c>
      <c r="K2174" t="s">
        <v>1184</v>
      </c>
      <c r="L2174" t="s">
        <v>1185</v>
      </c>
    </row>
    <row r="2175" spans="1:12" ht="15">
      <c r="A2175" s="4">
        <v>201409</v>
      </c>
      <c r="B2175" t="s">
        <v>1181</v>
      </c>
      <c r="C2175" s="5">
        <v>6605902</v>
      </c>
      <c r="D2175" s="2" t="s">
        <v>1249</v>
      </c>
      <c r="E2175" s="2" t="s">
        <v>238</v>
      </c>
      <c r="F2175" s="3">
        <v>109.96</v>
      </c>
      <c r="H2175" s="1" t="s">
        <v>14</v>
      </c>
      <c r="I2175" t="s">
        <v>371</v>
      </c>
      <c r="J2175" t="s">
        <v>1183</v>
      </c>
      <c r="K2175" t="s">
        <v>1184</v>
      </c>
      <c r="L2175" t="s">
        <v>1185</v>
      </c>
    </row>
    <row r="2176" spans="1:12" ht="15">
      <c r="A2176" s="4">
        <v>201409</v>
      </c>
      <c r="B2176" t="s">
        <v>1181</v>
      </c>
      <c r="C2176" s="5">
        <v>6605902</v>
      </c>
      <c r="D2176" s="2" t="s">
        <v>1249</v>
      </c>
      <c r="E2176" s="2" t="s">
        <v>238</v>
      </c>
      <c r="F2176" s="3">
        <v>1.64</v>
      </c>
      <c r="H2176" s="1" t="s">
        <v>66</v>
      </c>
      <c r="I2176" t="s">
        <v>67</v>
      </c>
      <c r="J2176" t="s">
        <v>1183</v>
      </c>
      <c r="K2176" t="s">
        <v>1184</v>
      </c>
      <c r="L2176" t="s">
        <v>1185</v>
      </c>
    </row>
    <row r="2177" spans="1:14" ht="15">
      <c r="A2177" s="4">
        <v>201409</v>
      </c>
      <c r="B2177" t="s">
        <v>1181</v>
      </c>
      <c r="C2177" s="5">
        <v>6606064</v>
      </c>
      <c r="D2177" s="2" t="s">
        <v>1250</v>
      </c>
      <c r="E2177" s="2" t="s">
        <v>238</v>
      </c>
      <c r="F2177" s="3">
        <v>60</v>
      </c>
      <c r="G2177" t="s">
        <v>57</v>
      </c>
      <c r="H2177" s="1" t="s">
        <v>60</v>
      </c>
      <c r="I2177">
        <f>-18016/818570/1</f>
        <v>-0.02200911345395018</v>
      </c>
      <c r="J2177" t="s">
        <v>1183</v>
      </c>
      <c r="K2177" t="s">
        <v>1184</v>
      </c>
      <c r="L2177" t="s">
        <v>1185</v>
      </c>
      <c r="N2177" t="s">
        <v>58</v>
      </c>
    </row>
    <row r="2178" spans="1:13" ht="15">
      <c r="A2178" s="4">
        <v>201409</v>
      </c>
      <c r="B2178" t="s">
        <v>1181</v>
      </c>
      <c r="C2178" s="5">
        <v>6606064</v>
      </c>
      <c r="D2178" s="2" t="s">
        <v>1250</v>
      </c>
      <c r="E2178" s="2" t="s">
        <v>238</v>
      </c>
      <c r="F2178" s="3">
        <v>1000</v>
      </c>
      <c r="G2178" t="s">
        <v>294</v>
      </c>
      <c r="H2178" s="1" t="s">
        <v>60</v>
      </c>
      <c r="I2178" t="s">
        <v>1251</v>
      </c>
      <c r="J2178" t="s">
        <v>1183</v>
      </c>
      <c r="K2178" t="s">
        <v>1184</v>
      </c>
      <c r="L2178" t="s">
        <v>1185</v>
      </c>
      <c r="M2178">
        <v>913519</v>
      </c>
    </row>
    <row r="2179" spans="1:12" ht="15">
      <c r="A2179" s="4">
        <v>201409</v>
      </c>
      <c r="B2179" t="s">
        <v>1181</v>
      </c>
      <c r="C2179" s="5">
        <v>6606064</v>
      </c>
      <c r="D2179" s="2" t="s">
        <v>1250</v>
      </c>
      <c r="E2179" s="2" t="s">
        <v>238</v>
      </c>
      <c r="F2179" s="3">
        <v>0.53</v>
      </c>
      <c r="H2179" s="1" t="s">
        <v>66</v>
      </c>
      <c r="I2179" t="s">
        <v>67</v>
      </c>
      <c r="J2179" t="s">
        <v>1183</v>
      </c>
      <c r="K2179" t="s">
        <v>1184</v>
      </c>
      <c r="L2179" t="s">
        <v>1185</v>
      </c>
    </row>
    <row r="2180" spans="1:14" ht="15">
      <c r="A2180" s="4">
        <v>201409</v>
      </c>
      <c r="B2180" t="s">
        <v>1181</v>
      </c>
      <c r="C2180" s="5">
        <v>6606064</v>
      </c>
      <c r="D2180" s="2" t="s">
        <v>1250</v>
      </c>
      <c r="E2180" s="2" t="s">
        <v>238</v>
      </c>
      <c r="F2180" s="3">
        <v>1.2</v>
      </c>
      <c r="G2180" t="s">
        <v>57</v>
      </c>
      <c r="H2180" s="1" t="s">
        <v>69</v>
      </c>
      <c r="I2180">
        <f>-18016/818570/1</f>
        <v>-0.02200911345395018</v>
      </c>
      <c r="J2180" t="s">
        <v>1183</v>
      </c>
      <c r="K2180" t="s">
        <v>1184</v>
      </c>
      <c r="L2180" t="s">
        <v>1185</v>
      </c>
      <c r="N2180" t="s">
        <v>58</v>
      </c>
    </row>
    <row r="2181" spans="1:12" ht="15">
      <c r="A2181" s="4">
        <v>201409</v>
      </c>
      <c r="B2181" t="s">
        <v>1181</v>
      </c>
      <c r="C2181" s="5">
        <v>6606064</v>
      </c>
      <c r="D2181" s="2" t="s">
        <v>1250</v>
      </c>
      <c r="E2181" s="2" t="s">
        <v>238</v>
      </c>
      <c r="F2181" s="3">
        <v>20</v>
      </c>
      <c r="G2181" t="s">
        <v>294</v>
      </c>
      <c r="H2181" s="1" t="s">
        <v>69</v>
      </c>
      <c r="I2181" t="e">
        <f>-freight</f>
        <v>#NAME?</v>
      </c>
      <c r="J2181" t="s">
        <v>1183</v>
      </c>
      <c r="K2181" t="s">
        <v>1184</v>
      </c>
      <c r="L2181" t="s">
        <v>1185</v>
      </c>
    </row>
    <row r="2182" spans="1:12" ht="15">
      <c r="A2182" s="4">
        <v>201409</v>
      </c>
      <c r="B2182" t="s">
        <v>1181</v>
      </c>
      <c r="C2182" s="5">
        <v>6607408</v>
      </c>
      <c r="D2182" s="2" t="s">
        <v>1253</v>
      </c>
      <c r="E2182" s="2" t="s">
        <v>238</v>
      </c>
      <c r="F2182" s="3">
        <v>0</v>
      </c>
      <c r="H2182" s="1" t="s">
        <v>14</v>
      </c>
      <c r="I2182" t="s">
        <v>1252</v>
      </c>
      <c r="J2182" t="s">
        <v>1183</v>
      </c>
      <c r="K2182" t="s">
        <v>1184</v>
      </c>
      <c r="L2182" t="s">
        <v>1185</v>
      </c>
    </row>
    <row r="2183" spans="1:12" ht="15">
      <c r="A2183" s="4">
        <v>201409</v>
      </c>
      <c r="B2183" t="s">
        <v>1181</v>
      </c>
      <c r="C2183" s="5">
        <v>6607408</v>
      </c>
      <c r="D2183" s="2" t="s">
        <v>1253</v>
      </c>
      <c r="E2183" s="2" t="s">
        <v>238</v>
      </c>
      <c r="F2183" s="3">
        <v>34.17</v>
      </c>
      <c r="H2183" s="1" t="s">
        <v>14</v>
      </c>
      <c r="I2183" t="s">
        <v>1254</v>
      </c>
      <c r="J2183" t="s">
        <v>1183</v>
      </c>
      <c r="K2183" t="s">
        <v>1184</v>
      </c>
      <c r="L2183" t="s">
        <v>1185</v>
      </c>
    </row>
    <row r="2184" spans="1:12" ht="15">
      <c r="A2184" s="4">
        <v>201409</v>
      </c>
      <c r="B2184" t="s">
        <v>1181</v>
      </c>
      <c r="C2184" s="5">
        <v>6607408</v>
      </c>
      <c r="D2184" s="2" t="s">
        <v>1253</v>
      </c>
      <c r="E2184" s="2" t="s">
        <v>238</v>
      </c>
      <c r="F2184" s="3">
        <v>534</v>
      </c>
      <c r="H2184" s="1" t="s">
        <v>14</v>
      </c>
      <c r="I2184" t="s">
        <v>1255</v>
      </c>
      <c r="J2184" t="s">
        <v>1183</v>
      </c>
      <c r="K2184" t="s">
        <v>1184</v>
      </c>
      <c r="L2184" t="s">
        <v>1185</v>
      </c>
    </row>
    <row r="2185" spans="1:12" ht="15">
      <c r="A2185" s="4">
        <v>201409</v>
      </c>
      <c r="B2185" t="s">
        <v>1181</v>
      </c>
      <c r="C2185" s="5">
        <v>6607408</v>
      </c>
      <c r="D2185" s="2" t="s">
        <v>1253</v>
      </c>
      <c r="E2185" s="2" t="s">
        <v>238</v>
      </c>
      <c r="F2185" s="3">
        <v>650</v>
      </c>
      <c r="H2185" s="1" t="s">
        <v>14</v>
      </c>
      <c r="I2185" t="s">
        <v>1256</v>
      </c>
      <c r="J2185" t="s">
        <v>1183</v>
      </c>
      <c r="K2185" t="s">
        <v>1184</v>
      </c>
      <c r="L2185" t="s">
        <v>1185</v>
      </c>
    </row>
    <row r="2186" spans="1:13" ht="15">
      <c r="A2186" s="4">
        <v>201410</v>
      </c>
      <c r="B2186" t="s">
        <v>1181</v>
      </c>
      <c r="C2186" s="5">
        <v>6607408</v>
      </c>
      <c r="D2186" s="2" t="s">
        <v>1253</v>
      </c>
      <c r="E2186" s="2" t="s">
        <v>238</v>
      </c>
      <c r="F2186" s="3">
        <v>328.92</v>
      </c>
      <c r="G2186" t="s">
        <v>47</v>
      </c>
      <c r="H2186" s="1" t="s">
        <v>44</v>
      </c>
      <c r="I2186" t="s">
        <v>1257</v>
      </c>
      <c r="J2186" t="s">
        <v>1183</v>
      </c>
      <c r="K2186" t="s">
        <v>1184</v>
      </c>
      <c r="L2186" t="s">
        <v>1185</v>
      </c>
      <c r="M2186">
        <v>915682</v>
      </c>
    </row>
    <row r="2187" spans="1:13" ht="15">
      <c r="A2187" s="4">
        <v>201410</v>
      </c>
      <c r="B2187" t="s">
        <v>1181</v>
      </c>
      <c r="C2187" s="5">
        <v>6607408</v>
      </c>
      <c r="D2187" s="2" t="s">
        <v>1253</v>
      </c>
      <c r="E2187" s="2" t="s">
        <v>238</v>
      </c>
      <c r="F2187" s="3">
        <v>2711.88</v>
      </c>
      <c r="G2187" t="s">
        <v>919</v>
      </c>
      <c r="H2187" s="1" t="s">
        <v>44</v>
      </c>
      <c r="I2187" t="s">
        <v>1258</v>
      </c>
      <c r="J2187" t="s">
        <v>1183</v>
      </c>
      <c r="K2187" t="s">
        <v>1184</v>
      </c>
      <c r="L2187" t="s">
        <v>1185</v>
      </c>
      <c r="M2187">
        <v>913618</v>
      </c>
    </row>
    <row r="2188" spans="1:13" ht="15">
      <c r="A2188" s="4">
        <v>201410</v>
      </c>
      <c r="B2188" t="s">
        <v>1181</v>
      </c>
      <c r="C2188" s="5">
        <v>6607408</v>
      </c>
      <c r="D2188" s="2" t="s">
        <v>1253</v>
      </c>
      <c r="E2188" s="2" t="s">
        <v>238</v>
      </c>
      <c r="F2188" s="3">
        <v>30261.7</v>
      </c>
      <c r="G2188" t="s">
        <v>47</v>
      </c>
      <c r="H2188" s="1" t="s">
        <v>44</v>
      </c>
      <c r="I2188" t="s">
        <v>1259</v>
      </c>
      <c r="J2188" t="s">
        <v>1183</v>
      </c>
      <c r="K2188" t="s">
        <v>1184</v>
      </c>
      <c r="L2188" t="s">
        <v>1185</v>
      </c>
      <c r="M2188">
        <v>915280</v>
      </c>
    </row>
    <row r="2189" spans="1:13" ht="15">
      <c r="A2189" s="4">
        <v>201410</v>
      </c>
      <c r="B2189" t="s">
        <v>1181</v>
      </c>
      <c r="C2189" s="5">
        <v>6607408</v>
      </c>
      <c r="D2189" s="2" t="s">
        <v>1253</v>
      </c>
      <c r="E2189" s="2" t="s">
        <v>238</v>
      </c>
      <c r="F2189" s="3">
        <v>384.72</v>
      </c>
      <c r="G2189" t="s">
        <v>47</v>
      </c>
      <c r="H2189" s="1" t="s">
        <v>78</v>
      </c>
      <c r="I2189" t="s">
        <v>1260</v>
      </c>
      <c r="J2189" t="s">
        <v>1183</v>
      </c>
      <c r="K2189" t="s">
        <v>1184</v>
      </c>
      <c r="L2189" t="s">
        <v>1185</v>
      </c>
      <c r="M2189">
        <v>915314</v>
      </c>
    </row>
    <row r="2190" spans="1:13" ht="15">
      <c r="A2190" s="4">
        <v>201410</v>
      </c>
      <c r="B2190" t="s">
        <v>1181</v>
      </c>
      <c r="C2190" s="5">
        <v>6607408</v>
      </c>
      <c r="D2190" s="2" t="s">
        <v>1253</v>
      </c>
      <c r="E2190" s="2" t="s">
        <v>238</v>
      </c>
      <c r="F2190" s="3">
        <v>3374.82</v>
      </c>
      <c r="G2190" t="s">
        <v>47</v>
      </c>
      <c r="H2190" s="1" t="s">
        <v>46</v>
      </c>
      <c r="I2190" t="s">
        <v>1228</v>
      </c>
      <c r="J2190" t="s">
        <v>1183</v>
      </c>
      <c r="K2190" t="s">
        <v>1184</v>
      </c>
      <c r="L2190" t="s">
        <v>1185</v>
      </c>
      <c r="M2190">
        <v>914881</v>
      </c>
    </row>
    <row r="2191" spans="1:12" ht="15">
      <c r="A2191" s="4">
        <v>201409</v>
      </c>
      <c r="B2191" t="s">
        <v>1181</v>
      </c>
      <c r="C2191" s="5">
        <v>6607408</v>
      </c>
      <c r="D2191" s="2" t="s">
        <v>1253</v>
      </c>
      <c r="E2191" s="2" t="s">
        <v>238</v>
      </c>
      <c r="F2191" s="3">
        <v>5.52</v>
      </c>
      <c r="H2191" s="1" t="s">
        <v>66</v>
      </c>
      <c r="I2191" t="s">
        <v>67</v>
      </c>
      <c r="J2191" t="s">
        <v>1183</v>
      </c>
      <c r="K2191" t="s">
        <v>1184</v>
      </c>
      <c r="L2191" t="s">
        <v>1185</v>
      </c>
    </row>
    <row r="2192" spans="1:12" ht="15">
      <c r="A2192" s="4">
        <v>201409</v>
      </c>
      <c r="B2192" t="s">
        <v>1181</v>
      </c>
      <c r="C2192" s="5">
        <v>6607408</v>
      </c>
      <c r="D2192" s="2" t="s">
        <v>1253</v>
      </c>
      <c r="E2192" s="2" t="s">
        <v>238</v>
      </c>
      <c r="F2192" s="3">
        <v>0</v>
      </c>
      <c r="H2192" s="1" t="s">
        <v>68</v>
      </c>
      <c r="J2192" t="s">
        <v>1183</v>
      </c>
      <c r="K2192" t="s">
        <v>1184</v>
      </c>
      <c r="L2192" t="s">
        <v>1185</v>
      </c>
    </row>
    <row r="2193" spans="1:12" ht="15">
      <c r="A2193" s="4">
        <v>201409</v>
      </c>
      <c r="B2193" t="s">
        <v>1181</v>
      </c>
      <c r="C2193" s="5">
        <v>6607408</v>
      </c>
      <c r="D2193" s="2" t="s">
        <v>1253</v>
      </c>
      <c r="E2193" s="2" t="s">
        <v>238</v>
      </c>
      <c r="F2193" s="3">
        <v>0</v>
      </c>
      <c r="H2193" s="1" t="s">
        <v>68</v>
      </c>
      <c r="J2193" t="s">
        <v>1183</v>
      </c>
      <c r="K2193" t="s">
        <v>1184</v>
      </c>
      <c r="L2193" t="s">
        <v>1185</v>
      </c>
    </row>
    <row r="2194" spans="1:12" ht="15">
      <c r="A2194" s="4">
        <v>201409</v>
      </c>
      <c r="B2194" t="s">
        <v>1181</v>
      </c>
      <c r="C2194" s="5">
        <v>6607408</v>
      </c>
      <c r="D2194" s="2" t="s">
        <v>1253</v>
      </c>
      <c r="E2194" s="2" t="s">
        <v>238</v>
      </c>
      <c r="F2194" s="3">
        <v>0</v>
      </c>
      <c r="H2194" s="1" t="s">
        <v>68</v>
      </c>
      <c r="J2194" t="s">
        <v>1183</v>
      </c>
      <c r="K2194" t="s">
        <v>1184</v>
      </c>
      <c r="L2194" t="s">
        <v>1185</v>
      </c>
    </row>
    <row r="2195" spans="1:12" ht="15">
      <c r="A2195" s="4">
        <v>201409</v>
      </c>
      <c r="B2195" t="s">
        <v>1181</v>
      </c>
      <c r="C2195" s="5">
        <v>6607408</v>
      </c>
      <c r="D2195" s="2" t="s">
        <v>1253</v>
      </c>
      <c r="E2195" s="2" t="s">
        <v>238</v>
      </c>
      <c r="F2195" s="3">
        <v>18</v>
      </c>
      <c r="H2195" s="1" t="s">
        <v>68</v>
      </c>
      <c r="J2195" t="s">
        <v>1183</v>
      </c>
      <c r="K2195" t="s">
        <v>1184</v>
      </c>
      <c r="L2195" t="s">
        <v>1185</v>
      </c>
    </row>
    <row r="2196" spans="1:12" ht="15">
      <c r="A2196" s="4">
        <v>201412</v>
      </c>
      <c r="B2196" t="s">
        <v>1181</v>
      </c>
      <c r="C2196" s="5">
        <v>6607621</v>
      </c>
      <c r="D2196" s="2" t="s">
        <v>1262</v>
      </c>
      <c r="E2196" s="2" t="s">
        <v>169</v>
      </c>
      <c r="F2196" s="3">
        <v>35.84</v>
      </c>
      <c r="H2196" s="1" t="s">
        <v>14</v>
      </c>
      <c r="I2196" t="s">
        <v>1261</v>
      </c>
      <c r="J2196" t="s">
        <v>1183</v>
      </c>
      <c r="K2196" t="s">
        <v>1184</v>
      </c>
      <c r="L2196" t="s">
        <v>1185</v>
      </c>
    </row>
    <row r="2197" spans="1:12" ht="15">
      <c r="A2197" s="4">
        <v>201410</v>
      </c>
      <c r="B2197" t="s">
        <v>1181</v>
      </c>
      <c r="C2197" s="5">
        <v>6608173</v>
      </c>
      <c r="D2197" s="2" t="s">
        <v>1264</v>
      </c>
      <c r="E2197" s="2" t="s">
        <v>269</v>
      </c>
      <c r="F2197" s="3">
        <v>-3042.92</v>
      </c>
      <c r="H2197" s="1" t="s">
        <v>330</v>
      </c>
      <c r="I2197" t="s">
        <v>1263</v>
      </c>
      <c r="J2197" t="s">
        <v>1183</v>
      </c>
      <c r="K2197" t="s">
        <v>1184</v>
      </c>
      <c r="L2197" t="s">
        <v>1185</v>
      </c>
    </row>
    <row r="2198" spans="1:12" ht="15">
      <c r="A2198" s="4">
        <v>201412</v>
      </c>
      <c r="B2198" t="s">
        <v>1181</v>
      </c>
      <c r="C2198" s="5">
        <v>6608173</v>
      </c>
      <c r="D2198" s="2" t="s">
        <v>1264</v>
      </c>
      <c r="E2198" s="2" t="s">
        <v>269</v>
      </c>
      <c r="F2198" s="3">
        <v>9.95</v>
      </c>
      <c r="H2198" s="1" t="s">
        <v>14</v>
      </c>
      <c r="I2198" t="s">
        <v>1265</v>
      </c>
      <c r="J2198" t="s">
        <v>1183</v>
      </c>
      <c r="K2198" t="s">
        <v>1184</v>
      </c>
      <c r="L2198" t="s">
        <v>1185</v>
      </c>
    </row>
    <row r="2199" spans="1:12" ht="15">
      <c r="A2199" s="4">
        <v>201412</v>
      </c>
      <c r="B2199" t="s">
        <v>1181</v>
      </c>
      <c r="C2199" s="5">
        <v>6608173</v>
      </c>
      <c r="D2199" s="2" t="s">
        <v>1264</v>
      </c>
      <c r="E2199" s="2" t="s">
        <v>269</v>
      </c>
      <c r="F2199" s="3">
        <v>10.18</v>
      </c>
      <c r="H2199" s="1" t="s">
        <v>14</v>
      </c>
      <c r="I2199" t="s">
        <v>289</v>
      </c>
      <c r="J2199" t="s">
        <v>1183</v>
      </c>
      <c r="K2199" t="s">
        <v>1184</v>
      </c>
      <c r="L2199" t="s">
        <v>1185</v>
      </c>
    </row>
    <row r="2200" spans="1:12" ht="15">
      <c r="A2200" s="4">
        <v>201412</v>
      </c>
      <c r="B2200" t="s">
        <v>1181</v>
      </c>
      <c r="C2200" s="5">
        <v>6608173</v>
      </c>
      <c r="D2200" s="2" t="s">
        <v>1264</v>
      </c>
      <c r="E2200" s="2" t="s">
        <v>269</v>
      </c>
      <c r="F2200" s="3">
        <v>21.09</v>
      </c>
      <c r="H2200" s="1" t="s">
        <v>14</v>
      </c>
      <c r="I2200" t="s">
        <v>291</v>
      </c>
      <c r="J2200" t="s">
        <v>1183</v>
      </c>
      <c r="K2200" t="s">
        <v>1184</v>
      </c>
      <c r="L2200" t="s">
        <v>1185</v>
      </c>
    </row>
    <row r="2201" spans="1:12" ht="15">
      <c r="A2201" s="4">
        <v>201412</v>
      </c>
      <c r="B2201" t="s">
        <v>1181</v>
      </c>
      <c r="C2201" s="5">
        <v>6608173</v>
      </c>
      <c r="D2201" s="2" t="s">
        <v>1264</v>
      </c>
      <c r="E2201" s="2" t="s">
        <v>269</v>
      </c>
      <c r="F2201" s="3">
        <v>22.74</v>
      </c>
      <c r="H2201" s="1" t="s">
        <v>14</v>
      </c>
      <c r="I2201" t="s">
        <v>117</v>
      </c>
      <c r="J2201" t="s">
        <v>1183</v>
      </c>
      <c r="K2201" t="s">
        <v>1184</v>
      </c>
      <c r="L2201" t="s">
        <v>1185</v>
      </c>
    </row>
    <row r="2202" spans="1:12" ht="15">
      <c r="A2202" s="4">
        <v>201412</v>
      </c>
      <c r="B2202" t="s">
        <v>1181</v>
      </c>
      <c r="C2202" s="5">
        <v>6608173</v>
      </c>
      <c r="D2202" s="2" t="s">
        <v>1264</v>
      </c>
      <c r="E2202" s="2" t="s">
        <v>269</v>
      </c>
      <c r="F2202" s="3">
        <v>29.71</v>
      </c>
      <c r="H2202" s="1" t="s">
        <v>14</v>
      </c>
      <c r="I2202" t="s">
        <v>118</v>
      </c>
      <c r="J2202" t="s">
        <v>1183</v>
      </c>
      <c r="K2202" t="s">
        <v>1184</v>
      </c>
      <c r="L2202" t="s">
        <v>1185</v>
      </c>
    </row>
    <row r="2203" spans="1:14" ht="15">
      <c r="A2203" s="4">
        <v>201410</v>
      </c>
      <c r="B2203" t="s">
        <v>1181</v>
      </c>
      <c r="C2203" s="5">
        <v>6608173</v>
      </c>
      <c r="D2203" s="2" t="s">
        <v>1264</v>
      </c>
      <c r="E2203" s="2" t="s">
        <v>269</v>
      </c>
      <c r="F2203" s="3">
        <v>365.15</v>
      </c>
      <c r="G2203" t="s">
        <v>57</v>
      </c>
      <c r="H2203" s="1" t="s">
        <v>60</v>
      </c>
      <c r="I2203">
        <f>-12807/437059/1</f>
        <v>-0.029302679958541068</v>
      </c>
      <c r="J2203" t="s">
        <v>1183</v>
      </c>
      <c r="K2203" t="s">
        <v>1184</v>
      </c>
      <c r="L2203" t="s">
        <v>1185</v>
      </c>
      <c r="N2203" t="s">
        <v>58</v>
      </c>
    </row>
    <row r="2204" spans="1:13" ht="15">
      <c r="A2204" s="4">
        <v>201410</v>
      </c>
      <c r="B2204" t="s">
        <v>1181</v>
      </c>
      <c r="C2204" s="5">
        <v>6608173</v>
      </c>
      <c r="D2204" s="2" t="s">
        <v>1264</v>
      </c>
      <c r="E2204" s="2" t="s">
        <v>269</v>
      </c>
      <c r="F2204" s="3">
        <v>6085.9</v>
      </c>
      <c r="G2204" t="s">
        <v>941</v>
      </c>
      <c r="H2204" s="1" t="s">
        <v>60</v>
      </c>
      <c r="I2204" t="e">
        <f>-VALVE,HYROJET-356152-KITA,HYDROJET VALVE</f>
        <v>#NAME?</v>
      </c>
      <c r="J2204" t="s">
        <v>1183</v>
      </c>
      <c r="K2204" t="s">
        <v>1184</v>
      </c>
      <c r="L2204" t="s">
        <v>1185</v>
      </c>
      <c r="M2204">
        <v>913495</v>
      </c>
    </row>
    <row r="2205" spans="1:12" ht="15">
      <c r="A2205" s="4">
        <v>201410</v>
      </c>
      <c r="B2205" t="s">
        <v>1181</v>
      </c>
      <c r="C2205" s="5">
        <v>6609446</v>
      </c>
      <c r="D2205" s="2" t="s">
        <v>1266</v>
      </c>
      <c r="E2205" s="2" t="s">
        <v>1176</v>
      </c>
      <c r="F2205" s="3">
        <v>0.45</v>
      </c>
      <c r="H2205" s="1" t="s">
        <v>66</v>
      </c>
      <c r="I2205" t="s">
        <v>67</v>
      </c>
      <c r="J2205" t="s">
        <v>1183</v>
      </c>
      <c r="K2205" t="s">
        <v>1184</v>
      </c>
      <c r="L2205" t="s">
        <v>1185</v>
      </c>
    </row>
    <row r="2206" spans="1:12" ht="15">
      <c r="A2206" s="4">
        <v>201410</v>
      </c>
      <c r="B2206" t="s">
        <v>1181</v>
      </c>
      <c r="C2206" s="5">
        <v>6609446</v>
      </c>
      <c r="D2206" s="2" t="s">
        <v>1266</v>
      </c>
      <c r="E2206" s="2" t="s">
        <v>1176</v>
      </c>
      <c r="F2206" s="3">
        <v>0</v>
      </c>
      <c r="H2206" s="1" t="s">
        <v>68</v>
      </c>
      <c r="J2206" t="s">
        <v>1183</v>
      </c>
      <c r="K2206" t="s">
        <v>1184</v>
      </c>
      <c r="L2206" t="s">
        <v>1185</v>
      </c>
    </row>
    <row r="2207" spans="1:12" ht="15">
      <c r="A2207" s="4">
        <v>201410</v>
      </c>
      <c r="B2207" t="s">
        <v>1181</v>
      </c>
      <c r="C2207" s="5">
        <v>6609446</v>
      </c>
      <c r="D2207" s="2" t="s">
        <v>1266</v>
      </c>
      <c r="E2207" s="2" t="s">
        <v>1176</v>
      </c>
      <c r="F2207" s="3">
        <v>12</v>
      </c>
      <c r="H2207" s="1" t="s">
        <v>68</v>
      </c>
      <c r="J2207" t="s">
        <v>1183</v>
      </c>
      <c r="K2207" t="s">
        <v>1184</v>
      </c>
      <c r="L2207" t="s">
        <v>1185</v>
      </c>
    </row>
    <row r="2208" spans="1:12" ht="15">
      <c r="A2208" s="4">
        <v>201410</v>
      </c>
      <c r="B2208" t="s">
        <v>1181</v>
      </c>
      <c r="C2208" s="5">
        <v>6610075</v>
      </c>
      <c r="D2208" s="2" t="s">
        <v>1267</v>
      </c>
      <c r="E2208" s="2" t="s">
        <v>169</v>
      </c>
      <c r="F2208" s="3">
        <v>0.22</v>
      </c>
      <c r="H2208" s="1" t="s">
        <v>66</v>
      </c>
      <c r="I2208" t="s">
        <v>67</v>
      </c>
      <c r="J2208" t="s">
        <v>1183</v>
      </c>
      <c r="K2208" t="s">
        <v>1184</v>
      </c>
      <c r="L2208" t="s">
        <v>1185</v>
      </c>
    </row>
    <row r="2209" spans="1:12" ht="15">
      <c r="A2209" s="4">
        <v>201410</v>
      </c>
      <c r="B2209" t="s">
        <v>1181</v>
      </c>
      <c r="C2209" s="5">
        <v>6612726</v>
      </c>
      <c r="D2209" s="2" t="s">
        <v>1268</v>
      </c>
      <c r="E2209" s="2" t="s">
        <v>1176</v>
      </c>
      <c r="F2209" s="3">
        <v>8.77</v>
      </c>
      <c r="H2209" s="1" t="s">
        <v>14</v>
      </c>
      <c r="I2209" t="s">
        <v>815</v>
      </c>
      <c r="J2209" t="s">
        <v>1183</v>
      </c>
      <c r="K2209" t="s">
        <v>1184</v>
      </c>
      <c r="L2209" t="s">
        <v>1185</v>
      </c>
    </row>
    <row r="2210" spans="1:12" ht="15">
      <c r="A2210" s="4">
        <v>201410</v>
      </c>
      <c r="B2210" t="s">
        <v>1181</v>
      </c>
      <c r="C2210" s="5">
        <v>6612726</v>
      </c>
      <c r="D2210" s="2" t="s">
        <v>1268</v>
      </c>
      <c r="E2210" s="2" t="s">
        <v>1176</v>
      </c>
      <c r="F2210" s="3">
        <v>30.64</v>
      </c>
      <c r="H2210" s="1" t="s">
        <v>14</v>
      </c>
      <c r="I2210" t="s">
        <v>30</v>
      </c>
      <c r="J2210" t="s">
        <v>1183</v>
      </c>
      <c r="K2210" t="s">
        <v>1184</v>
      </c>
      <c r="L2210" t="s">
        <v>1185</v>
      </c>
    </row>
    <row r="2211" spans="1:12" ht="15">
      <c r="A2211" s="4">
        <v>201410</v>
      </c>
      <c r="B2211" t="s">
        <v>1181</v>
      </c>
      <c r="C2211" s="5">
        <v>6612726</v>
      </c>
      <c r="D2211" s="2" t="s">
        <v>1268</v>
      </c>
      <c r="E2211" s="2" t="s">
        <v>1176</v>
      </c>
      <c r="F2211" s="3">
        <v>34.49</v>
      </c>
      <c r="H2211" s="1" t="s">
        <v>14</v>
      </c>
      <c r="I2211" t="s">
        <v>42</v>
      </c>
      <c r="J2211" t="s">
        <v>1183</v>
      </c>
      <c r="K2211" t="s">
        <v>1184</v>
      </c>
      <c r="L2211" t="s">
        <v>1185</v>
      </c>
    </row>
    <row r="2212" spans="1:13" ht="15">
      <c r="A2212" s="4">
        <v>201411</v>
      </c>
      <c r="B2212" t="s">
        <v>1181</v>
      </c>
      <c r="C2212" s="5">
        <v>6612726</v>
      </c>
      <c r="D2212" s="2" t="s">
        <v>1268</v>
      </c>
      <c r="E2212" s="2" t="s">
        <v>1176</v>
      </c>
      <c r="F2212" s="3">
        <v>12145.97</v>
      </c>
      <c r="G2212" t="s">
        <v>72</v>
      </c>
      <c r="H2212" s="1" t="s">
        <v>44</v>
      </c>
      <c r="I2212" t="e">
        <f>-labor FOR Economiser vent line</f>
        <v>#NAME?</v>
      </c>
      <c r="J2212" t="s">
        <v>1183</v>
      </c>
      <c r="K2212" t="s">
        <v>1184</v>
      </c>
      <c r="L2212" t="s">
        <v>1185</v>
      </c>
      <c r="M2212">
        <v>916917</v>
      </c>
    </row>
    <row r="2213" spans="1:14" ht="15">
      <c r="A2213" s="4">
        <v>201410</v>
      </c>
      <c r="B2213" t="s">
        <v>1181</v>
      </c>
      <c r="C2213" s="5">
        <v>6612726</v>
      </c>
      <c r="D2213" s="2" t="s">
        <v>1268</v>
      </c>
      <c r="E2213" s="2" t="s">
        <v>1176</v>
      </c>
      <c r="F2213" s="3">
        <v>7.22</v>
      </c>
      <c r="G2213" t="s">
        <v>57</v>
      </c>
      <c r="H2213" s="1" t="s">
        <v>60</v>
      </c>
      <c r="I2213">
        <f>-23426/5629876001/1</f>
        <v>-4.161015268513727E-06</v>
      </c>
      <c r="J2213" t="s">
        <v>1183</v>
      </c>
      <c r="K2213" t="s">
        <v>1184</v>
      </c>
      <c r="L2213" t="s">
        <v>1185</v>
      </c>
      <c r="N2213" t="s">
        <v>58</v>
      </c>
    </row>
    <row r="2214" spans="1:13" ht="15">
      <c r="A2214" s="4">
        <v>201410</v>
      </c>
      <c r="B2214" t="s">
        <v>1181</v>
      </c>
      <c r="C2214" s="5">
        <v>6612726</v>
      </c>
      <c r="D2214" s="2" t="s">
        <v>1268</v>
      </c>
      <c r="E2214" s="2" t="s">
        <v>1176</v>
      </c>
      <c r="F2214" s="3">
        <v>120.3</v>
      </c>
      <c r="G2214" t="s">
        <v>76</v>
      </c>
      <c r="H2214" s="1" t="s">
        <v>60</v>
      </c>
      <c r="I2214" t="s">
        <v>1269</v>
      </c>
      <c r="J2214" t="s">
        <v>1183</v>
      </c>
      <c r="K2214" t="s">
        <v>1184</v>
      </c>
      <c r="L2214" t="s">
        <v>1185</v>
      </c>
      <c r="M2214">
        <v>914672</v>
      </c>
    </row>
    <row r="2215" spans="1:12" ht="15">
      <c r="A2215" s="4">
        <v>201410</v>
      </c>
      <c r="B2215" t="s">
        <v>1181</v>
      </c>
      <c r="C2215" s="5">
        <v>6612726</v>
      </c>
      <c r="D2215" s="2" t="s">
        <v>1268</v>
      </c>
      <c r="E2215" s="2" t="s">
        <v>1176</v>
      </c>
      <c r="F2215" s="3">
        <v>12.37</v>
      </c>
      <c r="H2215" s="1" t="s">
        <v>66</v>
      </c>
      <c r="I2215" t="s">
        <v>67</v>
      </c>
      <c r="J2215" t="s">
        <v>1183</v>
      </c>
      <c r="K2215" t="s">
        <v>1184</v>
      </c>
      <c r="L2215" t="s">
        <v>1185</v>
      </c>
    </row>
    <row r="2216" spans="1:12" ht="15">
      <c r="A2216" s="4">
        <v>201410</v>
      </c>
      <c r="B2216" t="s">
        <v>1181</v>
      </c>
      <c r="C2216" s="5">
        <v>6612726</v>
      </c>
      <c r="D2216" s="2" t="s">
        <v>1268</v>
      </c>
      <c r="E2216" s="2" t="s">
        <v>1176</v>
      </c>
      <c r="F2216" s="3">
        <v>0</v>
      </c>
      <c r="H2216" s="1" t="s">
        <v>68</v>
      </c>
      <c r="J2216" t="s">
        <v>1183</v>
      </c>
      <c r="K2216" t="s">
        <v>1184</v>
      </c>
      <c r="L2216" t="s">
        <v>1185</v>
      </c>
    </row>
    <row r="2217" spans="1:12" ht="15">
      <c r="A2217" s="4">
        <v>201410</v>
      </c>
      <c r="B2217" t="s">
        <v>1181</v>
      </c>
      <c r="C2217" s="5">
        <v>6612726</v>
      </c>
      <c r="D2217" s="2" t="s">
        <v>1268</v>
      </c>
      <c r="E2217" s="2" t="s">
        <v>1176</v>
      </c>
      <c r="F2217" s="3">
        <v>0</v>
      </c>
      <c r="H2217" s="1" t="s">
        <v>68</v>
      </c>
      <c r="J2217" t="s">
        <v>1183</v>
      </c>
      <c r="K2217" t="s">
        <v>1184</v>
      </c>
      <c r="L2217" t="s">
        <v>1185</v>
      </c>
    </row>
    <row r="2218" spans="1:12" ht="15">
      <c r="A2218" s="4">
        <v>201410</v>
      </c>
      <c r="B2218" t="s">
        <v>1181</v>
      </c>
      <c r="C2218" s="5">
        <v>6612726</v>
      </c>
      <c r="D2218" s="2" t="s">
        <v>1268</v>
      </c>
      <c r="E2218" s="2" t="s">
        <v>1176</v>
      </c>
      <c r="F2218" s="3">
        <v>0</v>
      </c>
      <c r="H2218" s="1" t="s">
        <v>68</v>
      </c>
      <c r="J2218" t="s">
        <v>1183</v>
      </c>
      <c r="K2218" t="s">
        <v>1184</v>
      </c>
      <c r="L2218" t="s">
        <v>1185</v>
      </c>
    </row>
    <row r="2219" spans="1:12" ht="15">
      <c r="A2219" s="4">
        <v>201410</v>
      </c>
      <c r="B2219" t="s">
        <v>1181</v>
      </c>
      <c r="C2219" s="5">
        <v>6612726</v>
      </c>
      <c r="D2219" s="2" t="s">
        <v>1268</v>
      </c>
      <c r="E2219" s="2" t="s">
        <v>1176</v>
      </c>
      <c r="F2219" s="3">
        <v>0</v>
      </c>
      <c r="H2219" s="1" t="s">
        <v>68</v>
      </c>
      <c r="J2219" t="s">
        <v>1183</v>
      </c>
      <c r="K2219" t="s">
        <v>1184</v>
      </c>
      <c r="L2219" t="s">
        <v>1185</v>
      </c>
    </row>
    <row r="2220" spans="1:12" ht="15">
      <c r="A2220" s="4">
        <v>201410</v>
      </c>
      <c r="B2220" t="s">
        <v>1181</v>
      </c>
      <c r="C2220" s="5">
        <v>6612726</v>
      </c>
      <c r="D2220" s="2" t="s">
        <v>1268</v>
      </c>
      <c r="E2220" s="2" t="s">
        <v>1176</v>
      </c>
      <c r="F2220" s="3">
        <v>0</v>
      </c>
      <c r="H2220" s="1" t="s">
        <v>68</v>
      </c>
      <c r="J2220" t="s">
        <v>1183</v>
      </c>
      <c r="K2220" t="s">
        <v>1184</v>
      </c>
      <c r="L2220" t="s">
        <v>1185</v>
      </c>
    </row>
    <row r="2221" spans="1:12" ht="15">
      <c r="A2221" s="4">
        <v>201410</v>
      </c>
      <c r="B2221" t="s">
        <v>1181</v>
      </c>
      <c r="C2221" s="5">
        <v>6612726</v>
      </c>
      <c r="D2221" s="2" t="s">
        <v>1268</v>
      </c>
      <c r="E2221" s="2" t="s">
        <v>1176</v>
      </c>
      <c r="F2221" s="3">
        <v>0</v>
      </c>
      <c r="H2221" s="1" t="s">
        <v>68</v>
      </c>
      <c r="J2221" t="s">
        <v>1183</v>
      </c>
      <c r="K2221" t="s">
        <v>1184</v>
      </c>
      <c r="L2221" t="s">
        <v>1185</v>
      </c>
    </row>
    <row r="2222" spans="1:12" ht="15">
      <c r="A2222" s="4">
        <v>201410</v>
      </c>
      <c r="B2222" t="s">
        <v>1181</v>
      </c>
      <c r="C2222" s="5">
        <v>6612726</v>
      </c>
      <c r="D2222" s="2" t="s">
        <v>1268</v>
      </c>
      <c r="E2222" s="2" t="s">
        <v>1176</v>
      </c>
      <c r="F2222" s="3">
        <v>0</v>
      </c>
      <c r="H2222" s="1" t="s">
        <v>68</v>
      </c>
      <c r="J2222" t="s">
        <v>1183</v>
      </c>
      <c r="K2222" t="s">
        <v>1184</v>
      </c>
      <c r="L2222" t="s">
        <v>1185</v>
      </c>
    </row>
    <row r="2223" spans="1:12" ht="15">
      <c r="A2223" s="4">
        <v>201410</v>
      </c>
      <c r="B2223" t="s">
        <v>1181</v>
      </c>
      <c r="C2223" s="5">
        <v>6612726</v>
      </c>
      <c r="D2223" s="2" t="s">
        <v>1268</v>
      </c>
      <c r="E2223" s="2" t="s">
        <v>1176</v>
      </c>
      <c r="F2223" s="3">
        <v>36</v>
      </c>
      <c r="H2223" s="1" t="s">
        <v>68</v>
      </c>
      <c r="J2223" t="s">
        <v>1183</v>
      </c>
      <c r="K2223" t="s">
        <v>1184</v>
      </c>
      <c r="L2223" t="s">
        <v>1185</v>
      </c>
    </row>
    <row r="2224" spans="1:12" ht="15">
      <c r="A2224" s="4">
        <v>201410</v>
      </c>
      <c r="B2224" t="s">
        <v>1181</v>
      </c>
      <c r="C2224" s="5">
        <v>6612726</v>
      </c>
      <c r="D2224" s="2" t="s">
        <v>1268</v>
      </c>
      <c r="E2224" s="2" t="s">
        <v>1176</v>
      </c>
      <c r="F2224" s="3">
        <v>42</v>
      </c>
      <c r="H2224" s="1" t="s">
        <v>68</v>
      </c>
      <c r="J2224" t="s">
        <v>1183</v>
      </c>
      <c r="K2224" t="s">
        <v>1184</v>
      </c>
      <c r="L2224" t="s">
        <v>1185</v>
      </c>
    </row>
    <row r="2225" spans="1:14" ht="15">
      <c r="A2225" s="4">
        <v>201411</v>
      </c>
      <c r="B2225" t="s">
        <v>1181</v>
      </c>
      <c r="C2225" s="5">
        <v>6612726</v>
      </c>
      <c r="D2225" s="2" t="s">
        <v>1268</v>
      </c>
      <c r="E2225" s="2" t="s">
        <v>1176</v>
      </c>
      <c r="F2225" s="3">
        <v>13.8</v>
      </c>
      <c r="G2225" t="s">
        <v>57</v>
      </c>
      <c r="H2225" s="1" t="s">
        <v>69</v>
      </c>
      <c r="I2225">
        <f>-23426/5834568000/1</f>
        <v>-4.015035903257962E-06</v>
      </c>
      <c r="J2225" t="s">
        <v>1183</v>
      </c>
      <c r="K2225" t="s">
        <v>1184</v>
      </c>
      <c r="L2225" t="s">
        <v>1185</v>
      </c>
      <c r="N2225" t="s">
        <v>58</v>
      </c>
    </row>
    <row r="2226" spans="1:14" ht="15">
      <c r="A2226" s="4">
        <v>201411</v>
      </c>
      <c r="B2226" t="s">
        <v>1181</v>
      </c>
      <c r="C2226" s="5">
        <v>6612726</v>
      </c>
      <c r="D2226" s="2" t="s">
        <v>1268</v>
      </c>
      <c r="E2226" s="2" t="s">
        <v>1176</v>
      </c>
      <c r="F2226" s="3">
        <v>230.05</v>
      </c>
      <c r="G2226" t="s">
        <v>76</v>
      </c>
      <c r="H2226" s="1" t="s">
        <v>69</v>
      </c>
      <c r="I2226" t="s">
        <v>1270</v>
      </c>
      <c r="J2226" t="s">
        <v>1183</v>
      </c>
      <c r="K2226" t="s">
        <v>1184</v>
      </c>
      <c r="L2226" t="s">
        <v>1185</v>
      </c>
      <c r="N2226" t="s">
        <v>1271</v>
      </c>
    </row>
    <row r="2227" spans="1:12" ht="15">
      <c r="A2227" s="4">
        <v>201412</v>
      </c>
      <c r="B2227" t="s">
        <v>1181</v>
      </c>
      <c r="C2227" s="5">
        <v>6632337</v>
      </c>
      <c r="D2227" s="2" t="s">
        <v>1273</v>
      </c>
      <c r="E2227" s="2" t="s">
        <v>269</v>
      </c>
      <c r="F2227" s="3">
        <v>6132.87</v>
      </c>
      <c r="H2227" s="1" t="s">
        <v>44</v>
      </c>
      <c r="I2227" t="s">
        <v>1272</v>
      </c>
      <c r="J2227" t="s">
        <v>1183</v>
      </c>
      <c r="K2227" t="s">
        <v>1184</v>
      </c>
      <c r="L2227" t="s">
        <v>1185</v>
      </c>
    </row>
    <row r="2228" spans="1:12" ht="15">
      <c r="A2228" s="4">
        <v>201412</v>
      </c>
      <c r="B2228" t="s">
        <v>1181</v>
      </c>
      <c r="C2228" s="5">
        <v>6632337</v>
      </c>
      <c r="D2228" s="2" t="s">
        <v>1273</v>
      </c>
      <c r="E2228" s="2" t="s">
        <v>269</v>
      </c>
      <c r="F2228" s="3">
        <v>20000</v>
      </c>
      <c r="H2228" s="1" t="s">
        <v>44</v>
      </c>
      <c r="I2228" t="s">
        <v>1274</v>
      </c>
      <c r="J2228" t="s">
        <v>1183</v>
      </c>
      <c r="K2228" t="s">
        <v>1184</v>
      </c>
      <c r="L2228" t="s">
        <v>1185</v>
      </c>
    </row>
    <row r="2229" spans="1:13" ht="15">
      <c r="A2229" s="4">
        <v>201412</v>
      </c>
      <c r="B2229" t="s">
        <v>1181</v>
      </c>
      <c r="C2229" s="5">
        <v>6632337</v>
      </c>
      <c r="D2229" s="2" t="s">
        <v>1273</v>
      </c>
      <c r="E2229" s="2" t="s">
        <v>269</v>
      </c>
      <c r="F2229" s="3">
        <v>1406.72</v>
      </c>
      <c r="G2229" t="s">
        <v>47</v>
      </c>
      <c r="H2229" s="1" t="s">
        <v>46</v>
      </c>
      <c r="I2229" t="s">
        <v>1275</v>
      </c>
      <c r="J2229" t="s">
        <v>1183</v>
      </c>
      <c r="K2229" t="s">
        <v>1184</v>
      </c>
      <c r="L2229" t="s">
        <v>1185</v>
      </c>
      <c r="M2229">
        <v>920618</v>
      </c>
    </row>
    <row r="2230" spans="1:12" ht="15">
      <c r="A2230" s="4">
        <v>201412</v>
      </c>
      <c r="B2230" t="s">
        <v>1181</v>
      </c>
      <c r="C2230" s="5">
        <v>6632337</v>
      </c>
      <c r="D2230" s="2" t="s">
        <v>1273</v>
      </c>
      <c r="E2230" s="2" t="s">
        <v>269</v>
      </c>
      <c r="F2230" s="3">
        <v>2.98</v>
      </c>
      <c r="H2230" s="1" t="s">
        <v>66</v>
      </c>
      <c r="I2230" t="s">
        <v>67</v>
      </c>
      <c r="J2230" t="s">
        <v>1183</v>
      </c>
      <c r="K2230" t="s">
        <v>1184</v>
      </c>
      <c r="L2230" t="s">
        <v>1185</v>
      </c>
    </row>
    <row r="2231" spans="1:12" ht="15">
      <c r="A2231" s="4">
        <v>201410</v>
      </c>
      <c r="B2231" t="s">
        <v>1276</v>
      </c>
      <c r="C2231" s="5">
        <v>6308177</v>
      </c>
      <c r="D2231" s="2" t="s">
        <v>1278</v>
      </c>
      <c r="E2231" s="2" t="s">
        <v>1279</v>
      </c>
      <c r="F2231" s="3">
        <v>11.1</v>
      </c>
      <c r="H2231" s="1" t="s">
        <v>14</v>
      </c>
      <c r="I2231" t="s">
        <v>36</v>
      </c>
      <c r="J2231" t="s">
        <v>1277</v>
      </c>
      <c r="K2231" t="s">
        <v>128</v>
      </c>
      <c r="L2231" t="s">
        <v>129</v>
      </c>
    </row>
    <row r="2232" spans="1:12" ht="15">
      <c r="A2232" s="4">
        <v>201410</v>
      </c>
      <c r="B2232" t="s">
        <v>1276</v>
      </c>
      <c r="C2232" s="5">
        <v>6308177</v>
      </c>
      <c r="D2232" s="2" t="s">
        <v>1278</v>
      </c>
      <c r="E2232" s="2" t="s">
        <v>1279</v>
      </c>
      <c r="F2232" s="3">
        <v>340</v>
      </c>
      <c r="H2232" s="1" t="s">
        <v>14</v>
      </c>
      <c r="I2232" t="s">
        <v>1280</v>
      </c>
      <c r="J2232" t="s">
        <v>1277</v>
      </c>
      <c r="K2232" t="s">
        <v>128</v>
      </c>
      <c r="L2232" t="s">
        <v>129</v>
      </c>
    </row>
    <row r="2233" spans="1:13" ht="15">
      <c r="A2233" s="4">
        <v>201401</v>
      </c>
      <c r="B2233" t="s">
        <v>1276</v>
      </c>
      <c r="C2233" s="5">
        <v>6517972</v>
      </c>
      <c r="D2233" s="2" t="s">
        <v>1282</v>
      </c>
      <c r="E2233" s="2" t="s">
        <v>1193</v>
      </c>
      <c r="F2233" s="3">
        <v>-14.63</v>
      </c>
      <c r="G2233" t="s">
        <v>73</v>
      </c>
      <c r="H2233" s="1" t="s">
        <v>44</v>
      </c>
      <c r="I2233" t="s">
        <v>1281</v>
      </c>
      <c r="J2233" t="s">
        <v>1277</v>
      </c>
      <c r="K2233" t="s">
        <v>128</v>
      </c>
      <c r="L2233" t="s">
        <v>129</v>
      </c>
      <c r="M2233">
        <v>896481</v>
      </c>
    </row>
    <row r="2234" spans="1:12" ht="15">
      <c r="A2234" s="4">
        <v>201405</v>
      </c>
      <c r="B2234" t="s">
        <v>1276</v>
      </c>
      <c r="C2234" s="5">
        <v>6517972</v>
      </c>
      <c r="D2234" s="2" t="s">
        <v>1282</v>
      </c>
      <c r="E2234" s="2" t="s">
        <v>1193</v>
      </c>
      <c r="F2234" s="3">
        <v>0.5</v>
      </c>
      <c r="H2234" s="1" t="s">
        <v>66</v>
      </c>
      <c r="I2234" t="s">
        <v>67</v>
      </c>
      <c r="J2234" t="s">
        <v>1277</v>
      </c>
      <c r="K2234" t="s">
        <v>128</v>
      </c>
      <c r="L2234" t="s">
        <v>129</v>
      </c>
    </row>
    <row r="2235" spans="1:14" ht="15">
      <c r="A2235" s="4">
        <v>201403</v>
      </c>
      <c r="B2235" t="s">
        <v>1276</v>
      </c>
      <c r="C2235" s="5">
        <v>6535456</v>
      </c>
      <c r="D2235" s="2" t="s">
        <v>724</v>
      </c>
      <c r="E2235" s="2" t="s">
        <v>15</v>
      </c>
      <c r="F2235" s="3">
        <v>328.15</v>
      </c>
      <c r="G2235" t="s">
        <v>57</v>
      </c>
      <c r="H2235" s="1" t="s">
        <v>44</v>
      </c>
      <c r="I2235">
        <f>-30070/95080378/1</f>
        <v>-0.0003162587342679685</v>
      </c>
      <c r="J2235" t="s">
        <v>1277</v>
      </c>
      <c r="K2235" t="s">
        <v>128</v>
      </c>
      <c r="L2235" t="s">
        <v>129</v>
      </c>
      <c r="N2235" t="s">
        <v>58</v>
      </c>
    </row>
    <row r="2236" spans="1:13" ht="15">
      <c r="A2236" s="4">
        <v>201403</v>
      </c>
      <c r="B2236" t="s">
        <v>1276</v>
      </c>
      <c r="C2236" s="5">
        <v>6535456</v>
      </c>
      <c r="D2236" s="2" t="s">
        <v>724</v>
      </c>
      <c r="E2236" s="2" t="s">
        <v>15</v>
      </c>
      <c r="F2236" s="3">
        <v>5469.21</v>
      </c>
      <c r="G2236" t="s">
        <v>726</v>
      </c>
      <c r="H2236" s="1" t="s">
        <v>44</v>
      </c>
      <c r="I2236" t="e">
        <f>-TC2 air heater INSPECTION</f>
        <v>#NAME?</v>
      </c>
      <c r="J2236" t="s">
        <v>1277</v>
      </c>
      <c r="K2236" t="s">
        <v>128</v>
      </c>
      <c r="L2236" t="s">
        <v>129</v>
      </c>
      <c r="M2236">
        <v>898524</v>
      </c>
    </row>
    <row r="2237" spans="1:12" ht="15">
      <c r="A2237" s="4">
        <v>201405</v>
      </c>
      <c r="B2237" t="s">
        <v>1276</v>
      </c>
      <c r="C2237" s="5">
        <v>6567538</v>
      </c>
      <c r="D2237" s="2" t="s">
        <v>1283</v>
      </c>
      <c r="E2237" s="2" t="s">
        <v>15</v>
      </c>
      <c r="F2237" s="3">
        <v>0.25</v>
      </c>
      <c r="H2237" s="1" t="s">
        <v>66</v>
      </c>
      <c r="I2237" t="s">
        <v>67</v>
      </c>
      <c r="J2237" t="s">
        <v>1277</v>
      </c>
      <c r="K2237" t="s">
        <v>128</v>
      </c>
      <c r="L2237" t="s">
        <v>129</v>
      </c>
    </row>
    <row r="2238" spans="1:12" ht="15">
      <c r="A2238" s="4">
        <v>201405</v>
      </c>
      <c r="B2238" t="s">
        <v>1276</v>
      </c>
      <c r="C2238" s="5">
        <v>6567544</v>
      </c>
      <c r="D2238" s="2" t="s">
        <v>1284</v>
      </c>
      <c r="E2238" s="2" t="s">
        <v>15</v>
      </c>
      <c r="F2238" s="3">
        <v>0.25</v>
      </c>
      <c r="H2238" s="1" t="s">
        <v>66</v>
      </c>
      <c r="I2238" t="s">
        <v>67</v>
      </c>
      <c r="J2238" t="s">
        <v>1277</v>
      </c>
      <c r="K2238" t="s">
        <v>128</v>
      </c>
      <c r="L2238" t="s">
        <v>129</v>
      </c>
    </row>
    <row r="2239" spans="1:12" ht="15">
      <c r="A2239" s="4">
        <v>201407</v>
      </c>
      <c r="B2239" t="s">
        <v>1276</v>
      </c>
      <c r="C2239" s="5">
        <v>6585881</v>
      </c>
      <c r="D2239" s="2" t="s">
        <v>1285</v>
      </c>
      <c r="E2239" s="2" t="s">
        <v>261</v>
      </c>
      <c r="F2239" s="3">
        <v>10.38</v>
      </c>
      <c r="H2239" s="1" t="s">
        <v>14</v>
      </c>
      <c r="I2239" t="s">
        <v>319</v>
      </c>
      <c r="J2239" t="s">
        <v>1277</v>
      </c>
      <c r="K2239" t="s">
        <v>128</v>
      </c>
      <c r="L2239" t="s">
        <v>129</v>
      </c>
    </row>
    <row r="2240" spans="1:12" ht="15">
      <c r="A2240" s="4">
        <v>201407</v>
      </c>
      <c r="B2240" t="s">
        <v>1276</v>
      </c>
      <c r="C2240" s="5">
        <v>6585881</v>
      </c>
      <c r="D2240" s="2" t="s">
        <v>1285</v>
      </c>
      <c r="E2240" s="2" t="s">
        <v>261</v>
      </c>
      <c r="F2240" s="3">
        <v>0.52</v>
      </c>
      <c r="H2240" s="1" t="s">
        <v>66</v>
      </c>
      <c r="I2240" t="s">
        <v>67</v>
      </c>
      <c r="J2240" t="s">
        <v>1277</v>
      </c>
      <c r="K2240" t="s">
        <v>128</v>
      </c>
      <c r="L2240" t="s">
        <v>129</v>
      </c>
    </row>
    <row r="2241" spans="1:12" ht="15">
      <c r="A2241" s="4">
        <v>201407</v>
      </c>
      <c r="B2241" t="s">
        <v>1276</v>
      </c>
      <c r="C2241" s="5">
        <v>6591720</v>
      </c>
      <c r="D2241" s="2" t="s">
        <v>1286</v>
      </c>
      <c r="E2241" s="2" t="s">
        <v>1237</v>
      </c>
      <c r="F2241" s="3">
        <v>6.47</v>
      </c>
      <c r="H2241" s="1" t="s">
        <v>66</v>
      </c>
      <c r="I2241" t="s">
        <v>67</v>
      </c>
      <c r="J2241" t="s">
        <v>1277</v>
      </c>
      <c r="K2241" t="s">
        <v>128</v>
      </c>
      <c r="L2241" t="s">
        <v>129</v>
      </c>
    </row>
    <row r="2242" spans="1:12" ht="15">
      <c r="A2242" s="4">
        <v>201408</v>
      </c>
      <c r="B2242" t="s">
        <v>1276</v>
      </c>
      <c r="C2242" s="5">
        <v>6591720</v>
      </c>
      <c r="D2242" s="2" t="s">
        <v>1286</v>
      </c>
      <c r="E2242" s="2" t="s">
        <v>1237</v>
      </c>
      <c r="F2242" s="3">
        <v>0</v>
      </c>
      <c r="H2242" s="1" t="s">
        <v>66</v>
      </c>
      <c r="I2242" t="s">
        <v>67</v>
      </c>
      <c r="J2242" t="s">
        <v>1277</v>
      </c>
      <c r="K2242" t="s">
        <v>128</v>
      </c>
      <c r="L2242" t="s">
        <v>129</v>
      </c>
    </row>
    <row r="2243" spans="1:12" ht="15">
      <c r="A2243" s="4">
        <v>201407</v>
      </c>
      <c r="B2243" t="s">
        <v>1276</v>
      </c>
      <c r="C2243" s="5">
        <v>6591720</v>
      </c>
      <c r="D2243" s="2" t="s">
        <v>1286</v>
      </c>
      <c r="E2243" s="2" t="s">
        <v>1237</v>
      </c>
      <c r="F2243" s="3">
        <v>0</v>
      </c>
      <c r="H2243" s="1" t="s">
        <v>68</v>
      </c>
      <c r="J2243" t="s">
        <v>1277</v>
      </c>
      <c r="K2243" t="s">
        <v>128</v>
      </c>
      <c r="L2243" t="s">
        <v>129</v>
      </c>
    </row>
    <row r="2244" spans="1:12" ht="15">
      <c r="A2244" s="4">
        <v>201407</v>
      </c>
      <c r="B2244" t="s">
        <v>1276</v>
      </c>
      <c r="C2244" s="5">
        <v>6591720</v>
      </c>
      <c r="D2244" s="2" t="s">
        <v>1286</v>
      </c>
      <c r="E2244" s="2" t="s">
        <v>1237</v>
      </c>
      <c r="F2244" s="3">
        <v>0</v>
      </c>
      <c r="H2244" s="1" t="s">
        <v>68</v>
      </c>
      <c r="J2244" t="s">
        <v>1277</v>
      </c>
      <c r="K2244" t="s">
        <v>128</v>
      </c>
      <c r="L2244" t="s">
        <v>129</v>
      </c>
    </row>
    <row r="2245" spans="1:12" ht="15">
      <c r="A2245" s="4">
        <v>201407</v>
      </c>
      <c r="B2245" t="s">
        <v>1276</v>
      </c>
      <c r="C2245" s="5">
        <v>6591720</v>
      </c>
      <c r="D2245" s="2" t="s">
        <v>1286</v>
      </c>
      <c r="E2245" s="2" t="s">
        <v>1237</v>
      </c>
      <c r="F2245" s="3">
        <v>0</v>
      </c>
      <c r="H2245" s="1" t="s">
        <v>68</v>
      </c>
      <c r="J2245" t="s">
        <v>1277</v>
      </c>
      <c r="K2245" t="s">
        <v>128</v>
      </c>
      <c r="L2245" t="s">
        <v>129</v>
      </c>
    </row>
    <row r="2246" spans="1:12" ht="15">
      <c r="A2246" s="4">
        <v>201407</v>
      </c>
      <c r="B2246" t="s">
        <v>1276</v>
      </c>
      <c r="C2246" s="5">
        <v>6591720</v>
      </c>
      <c r="D2246" s="2" t="s">
        <v>1286</v>
      </c>
      <c r="E2246" s="2" t="s">
        <v>1237</v>
      </c>
      <c r="F2246" s="3">
        <v>0</v>
      </c>
      <c r="H2246" s="1" t="s">
        <v>68</v>
      </c>
      <c r="J2246" t="s">
        <v>1277</v>
      </c>
      <c r="K2246" t="s">
        <v>128</v>
      </c>
      <c r="L2246" t="s">
        <v>129</v>
      </c>
    </row>
    <row r="2247" spans="1:12" ht="15">
      <c r="A2247" s="4">
        <v>201407</v>
      </c>
      <c r="B2247" t="s">
        <v>1276</v>
      </c>
      <c r="C2247" s="5">
        <v>6591720</v>
      </c>
      <c r="D2247" s="2" t="s">
        <v>1286</v>
      </c>
      <c r="E2247" s="2" t="s">
        <v>1237</v>
      </c>
      <c r="F2247" s="3">
        <v>24</v>
      </c>
      <c r="H2247" s="1" t="s">
        <v>68</v>
      </c>
      <c r="J2247" t="s">
        <v>1277</v>
      </c>
      <c r="K2247" t="s">
        <v>128</v>
      </c>
      <c r="L2247" t="s">
        <v>129</v>
      </c>
    </row>
    <row r="2248" spans="1:12" ht="15">
      <c r="A2248" s="4">
        <v>201409</v>
      </c>
      <c r="B2248" t="s">
        <v>1276</v>
      </c>
      <c r="C2248" s="5">
        <v>6598554</v>
      </c>
      <c r="D2248" s="2" t="s">
        <v>1287</v>
      </c>
      <c r="E2248" s="2" t="s">
        <v>238</v>
      </c>
      <c r="F2248" s="3">
        <v>10.74</v>
      </c>
      <c r="H2248" s="1" t="s">
        <v>14</v>
      </c>
      <c r="I2248" t="s">
        <v>319</v>
      </c>
      <c r="J2248" t="s">
        <v>1277</v>
      </c>
      <c r="K2248" t="s">
        <v>128</v>
      </c>
      <c r="L2248" t="s">
        <v>129</v>
      </c>
    </row>
    <row r="2249" spans="1:12" ht="15">
      <c r="A2249" s="4">
        <v>201409</v>
      </c>
      <c r="B2249" t="s">
        <v>1276</v>
      </c>
      <c r="C2249" s="5">
        <v>6598554</v>
      </c>
      <c r="D2249" s="2" t="s">
        <v>1287</v>
      </c>
      <c r="E2249" s="2" t="s">
        <v>238</v>
      </c>
      <c r="F2249" s="3">
        <v>15.42</v>
      </c>
      <c r="H2249" s="1" t="s">
        <v>14</v>
      </c>
      <c r="I2249" t="s">
        <v>89</v>
      </c>
      <c r="J2249" t="s">
        <v>1277</v>
      </c>
      <c r="K2249" t="s">
        <v>128</v>
      </c>
      <c r="L2249" t="s">
        <v>129</v>
      </c>
    </row>
    <row r="2250" spans="1:12" ht="15">
      <c r="A2250" s="4">
        <v>201409</v>
      </c>
      <c r="B2250" t="s">
        <v>1276</v>
      </c>
      <c r="C2250" s="5">
        <v>6598554</v>
      </c>
      <c r="D2250" s="2" t="s">
        <v>1287</v>
      </c>
      <c r="E2250" s="2" t="s">
        <v>238</v>
      </c>
      <c r="F2250" s="3">
        <v>0.59</v>
      </c>
      <c r="H2250" s="1" t="s">
        <v>66</v>
      </c>
      <c r="I2250" t="s">
        <v>67</v>
      </c>
      <c r="J2250" t="s">
        <v>1277</v>
      </c>
      <c r="K2250" t="s">
        <v>128</v>
      </c>
      <c r="L2250" t="s">
        <v>129</v>
      </c>
    </row>
    <row r="2251" spans="1:12" ht="15">
      <c r="A2251" s="4">
        <v>201410</v>
      </c>
      <c r="B2251" t="s">
        <v>1276</v>
      </c>
      <c r="C2251" s="5">
        <v>6603871</v>
      </c>
      <c r="D2251" s="2" t="s">
        <v>1288</v>
      </c>
      <c r="E2251" s="2" t="s">
        <v>169</v>
      </c>
      <c r="F2251" s="3">
        <v>340</v>
      </c>
      <c r="H2251" s="1" t="s">
        <v>14</v>
      </c>
      <c r="I2251" t="s">
        <v>1280</v>
      </c>
      <c r="J2251" t="s">
        <v>1277</v>
      </c>
      <c r="K2251" t="s">
        <v>128</v>
      </c>
      <c r="L2251" t="s">
        <v>129</v>
      </c>
    </row>
    <row r="2252" spans="1:12" ht="15">
      <c r="A2252" s="4">
        <v>201410</v>
      </c>
      <c r="B2252" t="s">
        <v>1276</v>
      </c>
      <c r="C2252" s="5">
        <v>6603871</v>
      </c>
      <c r="D2252" s="2" t="s">
        <v>1288</v>
      </c>
      <c r="E2252" s="2" t="s">
        <v>169</v>
      </c>
      <c r="F2252" s="3">
        <v>0.22</v>
      </c>
      <c r="H2252" s="1" t="s">
        <v>66</v>
      </c>
      <c r="I2252" t="s">
        <v>67</v>
      </c>
      <c r="J2252" t="s">
        <v>1277</v>
      </c>
      <c r="K2252" t="s">
        <v>128</v>
      </c>
      <c r="L2252" t="s">
        <v>129</v>
      </c>
    </row>
    <row r="2253" spans="1:12" ht="15">
      <c r="A2253" s="4">
        <v>201412</v>
      </c>
      <c r="B2253" t="s">
        <v>1276</v>
      </c>
      <c r="C2253" s="5">
        <v>6603871</v>
      </c>
      <c r="D2253" s="2" t="s">
        <v>1288</v>
      </c>
      <c r="E2253" s="2" t="s">
        <v>169</v>
      </c>
      <c r="F2253" s="3">
        <v>0.44</v>
      </c>
      <c r="H2253" s="1" t="s">
        <v>66</v>
      </c>
      <c r="I2253" t="s">
        <v>67</v>
      </c>
      <c r="J2253" t="s">
        <v>1277</v>
      </c>
      <c r="K2253" t="s">
        <v>128</v>
      </c>
      <c r="L2253" t="s">
        <v>129</v>
      </c>
    </row>
    <row r="2254" spans="1:12" ht="15">
      <c r="A2254" s="4">
        <v>201409</v>
      </c>
      <c r="B2254" t="s">
        <v>1276</v>
      </c>
      <c r="C2254" s="5">
        <v>6607605</v>
      </c>
      <c r="D2254" s="2" t="s">
        <v>1289</v>
      </c>
      <c r="E2254" s="2" t="s">
        <v>238</v>
      </c>
      <c r="F2254" s="3">
        <v>2.37</v>
      </c>
      <c r="H2254" s="1" t="s">
        <v>66</v>
      </c>
      <c r="I2254" t="s">
        <v>67</v>
      </c>
      <c r="J2254" t="s">
        <v>1277</v>
      </c>
      <c r="K2254" t="s">
        <v>128</v>
      </c>
      <c r="L2254" t="s">
        <v>129</v>
      </c>
    </row>
    <row r="2255" spans="1:12" ht="15">
      <c r="A2255" s="4">
        <v>201409</v>
      </c>
      <c r="B2255" t="s">
        <v>1276</v>
      </c>
      <c r="C2255" s="5">
        <v>6607605</v>
      </c>
      <c r="D2255" s="2" t="s">
        <v>1289</v>
      </c>
      <c r="E2255" s="2" t="s">
        <v>238</v>
      </c>
      <c r="F2255" s="3">
        <v>0</v>
      </c>
      <c r="H2255" s="1" t="s">
        <v>68</v>
      </c>
      <c r="J2255" t="s">
        <v>1277</v>
      </c>
      <c r="K2255" t="s">
        <v>128</v>
      </c>
      <c r="L2255" t="s">
        <v>129</v>
      </c>
    </row>
    <row r="2256" spans="1:12" ht="15">
      <c r="A2256" s="4">
        <v>201409</v>
      </c>
      <c r="B2256" t="s">
        <v>1276</v>
      </c>
      <c r="C2256" s="5">
        <v>6607605</v>
      </c>
      <c r="D2256" s="2" t="s">
        <v>1289</v>
      </c>
      <c r="E2256" s="2" t="s">
        <v>238</v>
      </c>
      <c r="F2256" s="3">
        <v>0</v>
      </c>
      <c r="H2256" s="1" t="s">
        <v>68</v>
      </c>
      <c r="J2256" t="s">
        <v>1277</v>
      </c>
      <c r="K2256" t="s">
        <v>128</v>
      </c>
      <c r="L2256" t="s">
        <v>129</v>
      </c>
    </row>
    <row r="2257" spans="1:12" ht="15">
      <c r="A2257" s="4">
        <v>201409</v>
      </c>
      <c r="B2257" t="s">
        <v>1276</v>
      </c>
      <c r="C2257" s="5">
        <v>6607605</v>
      </c>
      <c r="D2257" s="2" t="s">
        <v>1289</v>
      </c>
      <c r="E2257" s="2" t="s">
        <v>238</v>
      </c>
      <c r="F2257" s="3">
        <v>12</v>
      </c>
      <c r="H2257" s="1" t="s">
        <v>68</v>
      </c>
      <c r="J2257" t="s">
        <v>1277</v>
      </c>
      <c r="K2257" t="s">
        <v>128</v>
      </c>
      <c r="L2257" t="s">
        <v>129</v>
      </c>
    </row>
    <row r="2258" spans="1:12" ht="15">
      <c r="A2258" s="4">
        <v>201412</v>
      </c>
      <c r="B2258" t="s">
        <v>1276</v>
      </c>
      <c r="C2258" s="5">
        <v>6612552</v>
      </c>
      <c r="D2258" s="2" t="s">
        <v>1290</v>
      </c>
      <c r="E2258" s="2" t="s">
        <v>169</v>
      </c>
      <c r="F2258" s="3">
        <v>0.84</v>
      </c>
      <c r="H2258" s="1" t="s">
        <v>66</v>
      </c>
      <c r="I2258" t="s">
        <v>67</v>
      </c>
      <c r="J2258" t="s">
        <v>1277</v>
      </c>
      <c r="K2258" t="s">
        <v>128</v>
      </c>
      <c r="L2258" t="s">
        <v>129</v>
      </c>
    </row>
    <row r="2259" spans="1:12" ht="15">
      <c r="A2259" s="4">
        <v>201412</v>
      </c>
      <c r="B2259" t="s">
        <v>1276</v>
      </c>
      <c r="C2259" s="5">
        <v>6628590</v>
      </c>
      <c r="D2259" s="2" t="s">
        <v>1292</v>
      </c>
      <c r="E2259" s="2" t="s">
        <v>169</v>
      </c>
      <c r="F2259" s="3">
        <v>673.58</v>
      </c>
      <c r="H2259" s="1" t="s">
        <v>14</v>
      </c>
      <c r="I2259" t="s">
        <v>1291</v>
      </c>
      <c r="J2259" t="s">
        <v>1277</v>
      </c>
      <c r="K2259" t="s">
        <v>128</v>
      </c>
      <c r="L2259" t="s">
        <v>129</v>
      </c>
    </row>
    <row r="2260" spans="1:12" ht="15">
      <c r="A2260" s="4">
        <v>201412</v>
      </c>
      <c r="B2260" t="s">
        <v>1276</v>
      </c>
      <c r="C2260" s="5">
        <v>6628590</v>
      </c>
      <c r="D2260" s="2" t="s">
        <v>1292</v>
      </c>
      <c r="E2260" s="2" t="s">
        <v>169</v>
      </c>
      <c r="F2260" s="3">
        <v>-673.58</v>
      </c>
      <c r="H2260" s="1" t="s">
        <v>43</v>
      </c>
      <c r="I2260" t="s">
        <v>1291</v>
      </c>
      <c r="J2260" t="s">
        <v>1277</v>
      </c>
      <c r="K2260" t="s">
        <v>128</v>
      </c>
      <c r="L2260" t="s">
        <v>129</v>
      </c>
    </row>
    <row r="2261" spans="1:12" ht="15">
      <c r="A2261" s="4">
        <v>201404</v>
      </c>
      <c r="B2261" t="s">
        <v>1293</v>
      </c>
      <c r="C2261" s="5">
        <v>6554464</v>
      </c>
      <c r="D2261" s="2" t="s">
        <v>1297</v>
      </c>
      <c r="E2261" s="2" t="s">
        <v>15</v>
      </c>
      <c r="F2261" s="3">
        <v>1.12</v>
      </c>
      <c r="H2261" s="1" t="s">
        <v>14</v>
      </c>
      <c r="I2261" t="s">
        <v>1294</v>
      </c>
      <c r="J2261" t="s">
        <v>1295</v>
      </c>
      <c r="K2261" t="s">
        <v>241</v>
      </c>
      <c r="L2261" t="s">
        <v>1296</v>
      </c>
    </row>
    <row r="2262" spans="1:12" ht="15">
      <c r="A2262" s="4">
        <v>201404</v>
      </c>
      <c r="B2262" t="s">
        <v>1293</v>
      </c>
      <c r="C2262" s="5">
        <v>6554464</v>
      </c>
      <c r="D2262" s="2" t="s">
        <v>1297</v>
      </c>
      <c r="E2262" s="2" t="s">
        <v>15</v>
      </c>
      <c r="F2262" s="3">
        <v>2.73</v>
      </c>
      <c r="H2262" s="1" t="s">
        <v>14</v>
      </c>
      <c r="I2262" t="s">
        <v>87</v>
      </c>
      <c r="J2262" t="s">
        <v>1295</v>
      </c>
      <c r="K2262" t="s">
        <v>241</v>
      </c>
      <c r="L2262" t="s">
        <v>1296</v>
      </c>
    </row>
    <row r="2263" spans="1:12" ht="15">
      <c r="A2263" s="4">
        <v>201404</v>
      </c>
      <c r="B2263" t="s">
        <v>1293</v>
      </c>
      <c r="C2263" s="5">
        <v>6554464</v>
      </c>
      <c r="D2263" s="2" t="s">
        <v>1297</v>
      </c>
      <c r="E2263" s="2" t="s">
        <v>15</v>
      </c>
      <c r="F2263" s="3">
        <v>38.45</v>
      </c>
      <c r="H2263" s="1" t="s">
        <v>14</v>
      </c>
      <c r="I2263" t="s">
        <v>1298</v>
      </c>
      <c r="J2263" t="s">
        <v>1295</v>
      </c>
      <c r="K2263" t="s">
        <v>241</v>
      </c>
      <c r="L2263" t="s">
        <v>1296</v>
      </c>
    </row>
    <row r="2264" spans="1:12" ht="15">
      <c r="A2264" s="4">
        <v>201404</v>
      </c>
      <c r="B2264" t="s">
        <v>1293</v>
      </c>
      <c r="C2264" s="5">
        <v>6554464</v>
      </c>
      <c r="D2264" s="2" t="s">
        <v>1297</v>
      </c>
      <c r="E2264" s="2" t="s">
        <v>15</v>
      </c>
      <c r="F2264" s="3">
        <v>3400</v>
      </c>
      <c r="H2264" s="1" t="s">
        <v>14</v>
      </c>
      <c r="I2264" t="s">
        <v>1299</v>
      </c>
      <c r="J2264" t="s">
        <v>1295</v>
      </c>
      <c r="K2264" t="s">
        <v>241</v>
      </c>
      <c r="L2264" t="s">
        <v>1296</v>
      </c>
    </row>
    <row r="2265" spans="1:13" ht="15">
      <c r="A2265" s="4">
        <v>201405</v>
      </c>
      <c r="B2265" t="s">
        <v>1293</v>
      </c>
      <c r="C2265" s="5">
        <v>6554464</v>
      </c>
      <c r="D2265" s="2" t="s">
        <v>1297</v>
      </c>
      <c r="E2265" s="2" t="s">
        <v>15</v>
      </c>
      <c r="F2265" s="3">
        <v>735.58</v>
      </c>
      <c r="G2265" t="s">
        <v>119</v>
      </c>
      <c r="H2265" s="1" t="s">
        <v>46</v>
      </c>
      <c r="I2265" t="s">
        <v>697</v>
      </c>
      <c r="J2265" t="s">
        <v>1295</v>
      </c>
      <c r="K2265" t="s">
        <v>241</v>
      </c>
      <c r="L2265" t="s">
        <v>1296</v>
      </c>
      <c r="M2265">
        <v>905659</v>
      </c>
    </row>
    <row r="2266" spans="1:12" ht="15">
      <c r="A2266" s="4">
        <v>201403</v>
      </c>
      <c r="B2266" t="s">
        <v>1293</v>
      </c>
      <c r="C2266" s="5">
        <v>6554464</v>
      </c>
      <c r="D2266" s="2" t="s">
        <v>1297</v>
      </c>
      <c r="E2266" s="2" t="s">
        <v>15</v>
      </c>
      <c r="F2266" s="3">
        <v>2.04</v>
      </c>
      <c r="H2266" s="1" t="s">
        <v>66</v>
      </c>
      <c r="I2266" t="s">
        <v>67</v>
      </c>
      <c r="J2266" t="s">
        <v>1295</v>
      </c>
      <c r="K2266" t="s">
        <v>241</v>
      </c>
      <c r="L2266" t="s">
        <v>1296</v>
      </c>
    </row>
    <row r="2267" spans="1:12" ht="15">
      <c r="A2267" s="4">
        <v>201404</v>
      </c>
      <c r="B2267" t="s">
        <v>1293</v>
      </c>
      <c r="C2267" s="5">
        <v>6554464</v>
      </c>
      <c r="D2267" s="2" t="s">
        <v>1297</v>
      </c>
      <c r="E2267" s="2" t="s">
        <v>15</v>
      </c>
      <c r="F2267" s="3">
        <v>5.94</v>
      </c>
      <c r="H2267" s="1" t="s">
        <v>66</v>
      </c>
      <c r="I2267" t="s">
        <v>67</v>
      </c>
      <c r="J2267" t="s">
        <v>1295</v>
      </c>
      <c r="K2267" t="s">
        <v>241</v>
      </c>
      <c r="L2267" t="s">
        <v>1296</v>
      </c>
    </row>
    <row r="2268" spans="1:12" ht="15">
      <c r="A2268" s="4">
        <v>201404</v>
      </c>
      <c r="B2268" t="s">
        <v>1293</v>
      </c>
      <c r="C2268" s="5">
        <v>6554464</v>
      </c>
      <c r="D2268" s="2" t="s">
        <v>1297</v>
      </c>
      <c r="E2268" s="2" t="s">
        <v>15</v>
      </c>
      <c r="F2268" s="3">
        <v>0</v>
      </c>
      <c r="H2268" s="1" t="s">
        <v>68</v>
      </c>
      <c r="J2268" t="s">
        <v>1295</v>
      </c>
      <c r="K2268" t="s">
        <v>241</v>
      </c>
      <c r="L2268" t="s">
        <v>1296</v>
      </c>
    </row>
    <row r="2269" spans="1:12" ht="15">
      <c r="A2269" s="4">
        <v>201404</v>
      </c>
      <c r="B2269" t="s">
        <v>1293</v>
      </c>
      <c r="C2269" s="5">
        <v>6554464</v>
      </c>
      <c r="D2269" s="2" t="s">
        <v>1297</v>
      </c>
      <c r="E2269" s="2" t="s">
        <v>15</v>
      </c>
      <c r="F2269" s="3">
        <v>6</v>
      </c>
      <c r="H2269" s="1" t="s">
        <v>68</v>
      </c>
      <c r="J2269" t="s">
        <v>1295</v>
      </c>
      <c r="K2269" t="s">
        <v>241</v>
      </c>
      <c r="L2269" t="s">
        <v>1296</v>
      </c>
    </row>
    <row r="2270" spans="1:13" ht="15">
      <c r="A2270" s="4">
        <v>201403</v>
      </c>
      <c r="B2270" t="s">
        <v>1300</v>
      </c>
      <c r="C2270" s="5">
        <v>6532527</v>
      </c>
      <c r="D2270" s="2" t="s">
        <v>684</v>
      </c>
      <c r="E2270" s="2" t="s">
        <v>15</v>
      </c>
      <c r="F2270" s="3">
        <v>18160</v>
      </c>
      <c r="G2270" t="s">
        <v>1301</v>
      </c>
      <c r="H2270" s="1" t="s">
        <v>44</v>
      </c>
      <c r="I2270" t="e">
        <f>-labor TO complete INSPECTION of DA Vessel and heater Vessel as specified IN quote,including report</f>
        <v>#NAME?</v>
      </c>
      <c r="J2270" t="s">
        <v>1302</v>
      </c>
      <c r="K2270" t="s">
        <v>1303</v>
      </c>
      <c r="L2270" t="s">
        <v>1304</v>
      </c>
      <c r="M2270">
        <v>897998</v>
      </c>
    </row>
    <row r="2271" spans="1:13" ht="15">
      <c r="A2271" s="4">
        <v>201403</v>
      </c>
      <c r="B2271" t="s">
        <v>1300</v>
      </c>
      <c r="C2271" s="5">
        <v>6532527</v>
      </c>
      <c r="D2271" s="2" t="s">
        <v>684</v>
      </c>
      <c r="E2271" s="2" t="s">
        <v>15</v>
      </c>
      <c r="F2271" s="3">
        <v>4540</v>
      </c>
      <c r="G2271" t="s">
        <v>1301</v>
      </c>
      <c r="H2271" s="1" t="s">
        <v>60</v>
      </c>
      <c r="I2271" t="e">
        <f>-MATERIAL needed TO complete the INSPECTION of the DA Vessel and heater Vessel</f>
        <v>#NAME?</v>
      </c>
      <c r="J2271" t="s">
        <v>1302</v>
      </c>
      <c r="K2271" t="s">
        <v>1303</v>
      </c>
      <c r="L2271" t="s">
        <v>1304</v>
      </c>
      <c r="M2271">
        <v>897998</v>
      </c>
    </row>
    <row r="2272" spans="1:12" ht="15">
      <c r="A2272" s="4">
        <v>201401</v>
      </c>
      <c r="B2272" t="s">
        <v>1300</v>
      </c>
      <c r="C2272" s="5">
        <v>6535704</v>
      </c>
      <c r="D2272" s="2" t="s">
        <v>1305</v>
      </c>
      <c r="E2272" s="2" t="s">
        <v>15</v>
      </c>
      <c r="F2272" s="3">
        <v>0.19</v>
      </c>
      <c r="H2272" s="1" t="s">
        <v>66</v>
      </c>
      <c r="I2272" t="s">
        <v>67</v>
      </c>
      <c r="J2272" t="s">
        <v>1302</v>
      </c>
      <c r="K2272" t="s">
        <v>1303</v>
      </c>
      <c r="L2272" t="s">
        <v>1304</v>
      </c>
    </row>
    <row r="2273" spans="1:12" ht="15">
      <c r="A2273" s="4">
        <v>201402</v>
      </c>
      <c r="B2273" t="s">
        <v>1300</v>
      </c>
      <c r="C2273" s="5">
        <v>6535706</v>
      </c>
      <c r="D2273" s="2" t="s">
        <v>1306</v>
      </c>
      <c r="E2273" s="2" t="s">
        <v>15</v>
      </c>
      <c r="F2273" s="3">
        <v>0.52</v>
      </c>
      <c r="H2273" s="1" t="s">
        <v>66</v>
      </c>
      <c r="I2273" t="s">
        <v>67</v>
      </c>
      <c r="J2273" t="s">
        <v>1302</v>
      </c>
      <c r="K2273" t="s">
        <v>1303</v>
      </c>
      <c r="L2273" t="s">
        <v>1304</v>
      </c>
    </row>
    <row r="2274" spans="1:12" ht="15">
      <c r="A2274" s="4">
        <v>201402</v>
      </c>
      <c r="B2274" t="s">
        <v>1300</v>
      </c>
      <c r="C2274" s="5">
        <v>6544285</v>
      </c>
      <c r="D2274" s="2" t="s">
        <v>1307</v>
      </c>
      <c r="E2274" s="2" t="s">
        <v>15</v>
      </c>
      <c r="F2274" s="3">
        <v>0.15</v>
      </c>
      <c r="H2274" s="1" t="s">
        <v>66</v>
      </c>
      <c r="I2274" t="s">
        <v>67</v>
      </c>
      <c r="J2274" t="s">
        <v>1302</v>
      </c>
      <c r="K2274" t="s">
        <v>1303</v>
      </c>
      <c r="L2274" t="s">
        <v>1304</v>
      </c>
    </row>
    <row r="2275" spans="1:12" ht="15">
      <c r="A2275" s="4">
        <v>201411</v>
      </c>
      <c r="B2275" t="s">
        <v>1300</v>
      </c>
      <c r="C2275" s="5">
        <v>6594375</v>
      </c>
      <c r="D2275" s="2" t="s">
        <v>1308</v>
      </c>
      <c r="E2275" s="2" t="s">
        <v>1309</v>
      </c>
      <c r="F2275" s="3">
        <v>0.44</v>
      </c>
      <c r="H2275" s="1" t="s">
        <v>66</v>
      </c>
      <c r="I2275" t="s">
        <v>67</v>
      </c>
      <c r="J2275" t="s">
        <v>1302</v>
      </c>
      <c r="K2275" t="s">
        <v>1303</v>
      </c>
      <c r="L2275" t="s">
        <v>1304</v>
      </c>
    </row>
    <row r="2276" spans="1:12" ht="15">
      <c r="A2276" s="4">
        <v>201409</v>
      </c>
      <c r="B2276" t="s">
        <v>1300</v>
      </c>
      <c r="C2276" s="5">
        <v>6606087</v>
      </c>
      <c r="D2276" s="2" t="s">
        <v>1310</v>
      </c>
      <c r="E2276" s="2" t="s">
        <v>238</v>
      </c>
      <c r="F2276" s="3">
        <v>1.05</v>
      </c>
      <c r="H2276" s="1" t="s">
        <v>66</v>
      </c>
      <c r="I2276" t="s">
        <v>67</v>
      </c>
      <c r="J2276" t="s">
        <v>1302</v>
      </c>
      <c r="K2276" t="s">
        <v>1303</v>
      </c>
      <c r="L2276" t="s">
        <v>1304</v>
      </c>
    </row>
    <row r="2277" spans="1:12" ht="15">
      <c r="A2277" s="4">
        <v>201411</v>
      </c>
      <c r="B2277" t="s">
        <v>1300</v>
      </c>
      <c r="C2277" s="5">
        <v>6610078</v>
      </c>
      <c r="D2277" s="2" t="s">
        <v>1312</v>
      </c>
      <c r="E2277" s="2" t="s">
        <v>99</v>
      </c>
      <c r="F2277" s="3">
        <v>1860</v>
      </c>
      <c r="H2277" s="1" t="s">
        <v>60</v>
      </c>
      <c r="I2277" t="s">
        <v>1311</v>
      </c>
      <c r="J2277" t="s">
        <v>1302</v>
      </c>
      <c r="K2277" t="s">
        <v>1303</v>
      </c>
      <c r="L2277" t="s">
        <v>1304</v>
      </c>
    </row>
    <row r="2278" spans="1:12" ht="15">
      <c r="A2278" s="4">
        <v>201412</v>
      </c>
      <c r="B2278" t="s">
        <v>1300</v>
      </c>
      <c r="C2278" s="5">
        <v>6610078</v>
      </c>
      <c r="D2278" s="2" t="s">
        <v>1312</v>
      </c>
      <c r="E2278" s="2" t="s">
        <v>99</v>
      </c>
      <c r="F2278" s="3">
        <v>-1860</v>
      </c>
      <c r="H2278" s="1" t="s">
        <v>60</v>
      </c>
      <c r="I2278" t="s">
        <v>1311</v>
      </c>
      <c r="J2278" t="s">
        <v>1302</v>
      </c>
      <c r="K2278" t="s">
        <v>1303</v>
      </c>
      <c r="L2278" t="s">
        <v>1304</v>
      </c>
    </row>
    <row r="2279" spans="1:14" ht="15">
      <c r="A2279" s="4">
        <v>201412</v>
      </c>
      <c r="B2279" t="s">
        <v>1300</v>
      </c>
      <c r="C2279" s="5">
        <v>6610078</v>
      </c>
      <c r="D2279" s="2" t="s">
        <v>1312</v>
      </c>
      <c r="E2279" s="2" t="s">
        <v>99</v>
      </c>
      <c r="F2279" s="3">
        <v>111.6</v>
      </c>
      <c r="G2279" t="s">
        <v>57</v>
      </c>
      <c r="H2279" s="1" t="s">
        <v>60</v>
      </c>
      <c r="I2279">
        <f>-18016/818773/1</f>
        <v>-0.02200365669117081</v>
      </c>
      <c r="J2279" t="s">
        <v>1302</v>
      </c>
      <c r="K2279" t="s">
        <v>1303</v>
      </c>
      <c r="L2279" t="s">
        <v>1304</v>
      </c>
      <c r="N2279" t="s">
        <v>58</v>
      </c>
    </row>
    <row r="2280" spans="1:13" ht="15">
      <c r="A2280" s="4">
        <v>201412</v>
      </c>
      <c r="B2280" t="s">
        <v>1300</v>
      </c>
      <c r="C2280" s="5">
        <v>6610078</v>
      </c>
      <c r="D2280" s="2" t="s">
        <v>1312</v>
      </c>
      <c r="E2280" s="2" t="s">
        <v>99</v>
      </c>
      <c r="F2280" s="3">
        <v>1860</v>
      </c>
      <c r="G2280" t="s">
        <v>294</v>
      </c>
      <c r="H2280" s="1" t="s">
        <v>60</v>
      </c>
      <c r="I2280" t="s">
        <v>1313</v>
      </c>
      <c r="J2280" t="s">
        <v>1302</v>
      </c>
      <c r="K2280" t="s">
        <v>1303</v>
      </c>
      <c r="L2280" t="s">
        <v>1304</v>
      </c>
      <c r="M2280">
        <v>916313</v>
      </c>
    </row>
    <row r="2281" spans="1:14" ht="15">
      <c r="A2281" s="4">
        <v>201412</v>
      </c>
      <c r="B2281" t="s">
        <v>1300</v>
      </c>
      <c r="C2281" s="5">
        <v>6610078</v>
      </c>
      <c r="D2281" s="2" t="s">
        <v>1312</v>
      </c>
      <c r="E2281" s="2" t="s">
        <v>99</v>
      </c>
      <c r="F2281" s="3">
        <v>2.84</v>
      </c>
      <c r="G2281" t="s">
        <v>57</v>
      </c>
      <c r="H2281" s="1" t="s">
        <v>69</v>
      </c>
      <c r="I2281">
        <f>-18016/818773/1</f>
        <v>-0.02200365669117081</v>
      </c>
      <c r="J2281" t="s">
        <v>1302</v>
      </c>
      <c r="K2281" t="s">
        <v>1303</v>
      </c>
      <c r="L2281" t="s">
        <v>1304</v>
      </c>
      <c r="N2281" t="s">
        <v>58</v>
      </c>
    </row>
    <row r="2282" spans="1:12" ht="15">
      <c r="A2282" s="4">
        <v>201412</v>
      </c>
      <c r="B2282" t="s">
        <v>1300</v>
      </c>
      <c r="C2282" s="5">
        <v>6610078</v>
      </c>
      <c r="D2282" s="2" t="s">
        <v>1312</v>
      </c>
      <c r="E2282" s="2" t="s">
        <v>99</v>
      </c>
      <c r="F2282" s="3">
        <v>47.3</v>
      </c>
      <c r="G2282" t="s">
        <v>294</v>
      </c>
      <c r="H2282" s="1" t="s">
        <v>69</v>
      </c>
      <c r="I2282" t="e">
        <f>-freight</f>
        <v>#NAME?</v>
      </c>
      <c r="J2282" t="s">
        <v>1302</v>
      </c>
      <c r="K2282" t="s">
        <v>1303</v>
      </c>
      <c r="L2282" t="s">
        <v>1304</v>
      </c>
    </row>
    <row r="2283" spans="1:12" ht="15">
      <c r="A2283" s="4">
        <v>201412</v>
      </c>
      <c r="B2283" t="s">
        <v>1300</v>
      </c>
      <c r="C2283" s="5">
        <v>6632360</v>
      </c>
      <c r="D2283" s="2" t="s">
        <v>1314</v>
      </c>
      <c r="E2283" s="2" t="s">
        <v>269</v>
      </c>
      <c r="F2283" s="3">
        <v>1.11</v>
      </c>
      <c r="H2283" s="1" t="s">
        <v>14</v>
      </c>
      <c r="I2283" t="s">
        <v>363</v>
      </c>
      <c r="J2283" t="s">
        <v>1302</v>
      </c>
      <c r="K2283" t="s">
        <v>1303</v>
      </c>
      <c r="L2283" t="s">
        <v>1304</v>
      </c>
    </row>
    <row r="2284" spans="1:12" ht="15">
      <c r="A2284" s="4">
        <v>201412</v>
      </c>
      <c r="B2284" t="s">
        <v>1300</v>
      </c>
      <c r="C2284" s="5">
        <v>6632360</v>
      </c>
      <c r="D2284" s="2" t="s">
        <v>1314</v>
      </c>
      <c r="E2284" s="2" t="s">
        <v>269</v>
      </c>
      <c r="F2284" s="3">
        <v>1.15</v>
      </c>
      <c r="H2284" s="1" t="s">
        <v>14</v>
      </c>
      <c r="I2284" t="s">
        <v>813</v>
      </c>
      <c r="J2284" t="s">
        <v>1302</v>
      </c>
      <c r="K2284" t="s">
        <v>1303</v>
      </c>
      <c r="L2284" t="s">
        <v>1304</v>
      </c>
    </row>
    <row r="2285" spans="1:12" ht="15">
      <c r="A2285" s="4">
        <v>201412</v>
      </c>
      <c r="B2285" t="s">
        <v>1300</v>
      </c>
      <c r="C2285" s="5">
        <v>6632360</v>
      </c>
      <c r="D2285" s="2" t="s">
        <v>1314</v>
      </c>
      <c r="E2285" s="2" t="s">
        <v>269</v>
      </c>
      <c r="F2285" s="3">
        <v>22.32</v>
      </c>
      <c r="H2285" s="1" t="s">
        <v>14</v>
      </c>
      <c r="I2285" t="s">
        <v>783</v>
      </c>
      <c r="J2285" t="s">
        <v>1302</v>
      </c>
      <c r="K2285" t="s">
        <v>1303</v>
      </c>
      <c r="L2285" t="s">
        <v>1304</v>
      </c>
    </row>
    <row r="2286" spans="1:12" ht="15">
      <c r="A2286" s="4">
        <v>201412</v>
      </c>
      <c r="B2286" t="s">
        <v>1300</v>
      </c>
      <c r="C2286" s="5">
        <v>6632360</v>
      </c>
      <c r="D2286" s="2" t="s">
        <v>1314</v>
      </c>
      <c r="E2286" s="2" t="s">
        <v>269</v>
      </c>
      <c r="F2286" s="3">
        <v>64.18</v>
      </c>
      <c r="H2286" s="1" t="s">
        <v>14</v>
      </c>
      <c r="I2286" t="s">
        <v>1315</v>
      </c>
      <c r="J2286" t="s">
        <v>1302</v>
      </c>
      <c r="K2286" t="s">
        <v>1303</v>
      </c>
      <c r="L2286" t="s">
        <v>1304</v>
      </c>
    </row>
    <row r="2287" spans="1:12" ht="15">
      <c r="A2287" s="4">
        <v>201412</v>
      </c>
      <c r="B2287" t="s">
        <v>1300</v>
      </c>
      <c r="C2287" s="5">
        <v>6632360</v>
      </c>
      <c r="D2287" s="2" t="s">
        <v>1314</v>
      </c>
      <c r="E2287" s="2" t="s">
        <v>269</v>
      </c>
      <c r="F2287" s="3">
        <v>-64.18</v>
      </c>
      <c r="H2287" s="1" t="s">
        <v>43</v>
      </c>
      <c r="I2287" t="s">
        <v>1315</v>
      </c>
      <c r="J2287" t="s">
        <v>1302</v>
      </c>
      <c r="K2287" t="s">
        <v>1303</v>
      </c>
      <c r="L2287" t="s">
        <v>1304</v>
      </c>
    </row>
    <row r="2288" spans="1:12" ht="15">
      <c r="A2288" s="4">
        <v>201412</v>
      </c>
      <c r="B2288" t="s">
        <v>1300</v>
      </c>
      <c r="C2288" s="5">
        <v>6632360</v>
      </c>
      <c r="D2288" s="2" t="s">
        <v>1314</v>
      </c>
      <c r="E2288" s="2" t="s">
        <v>269</v>
      </c>
      <c r="F2288" s="3">
        <v>1.85</v>
      </c>
      <c r="H2288" s="1" t="s">
        <v>66</v>
      </c>
      <c r="I2288" t="s">
        <v>67</v>
      </c>
      <c r="J2288" t="s">
        <v>1302</v>
      </c>
      <c r="K2288" t="s">
        <v>1303</v>
      </c>
      <c r="L2288" t="s">
        <v>1304</v>
      </c>
    </row>
    <row r="2289" spans="1:14" ht="15">
      <c r="A2289" s="4">
        <v>201403</v>
      </c>
      <c r="B2289" t="s">
        <v>1316</v>
      </c>
      <c r="C2289" s="5">
        <v>6531306</v>
      </c>
      <c r="D2289" s="2" t="s">
        <v>1319</v>
      </c>
      <c r="E2289" s="2" t="s">
        <v>169</v>
      </c>
      <c r="F2289" s="3">
        <v>161.61</v>
      </c>
      <c r="G2289" t="s">
        <v>61</v>
      </c>
      <c r="H2289" s="1" t="s">
        <v>60</v>
      </c>
      <c r="I2289" t="e">
        <f>-freight</f>
        <v>#NAME?</v>
      </c>
      <c r="J2289" t="s">
        <v>1317</v>
      </c>
      <c r="K2289" t="s">
        <v>241</v>
      </c>
      <c r="L2289" t="s">
        <v>1318</v>
      </c>
      <c r="N2289">
        <v>861176466</v>
      </c>
    </row>
    <row r="2290" spans="1:14" ht="15">
      <c r="A2290" s="4">
        <v>201403</v>
      </c>
      <c r="B2290" t="s">
        <v>1316</v>
      </c>
      <c r="C2290" s="5">
        <v>6531306</v>
      </c>
      <c r="D2290" s="2" t="s">
        <v>1319</v>
      </c>
      <c r="E2290" s="2" t="s">
        <v>169</v>
      </c>
      <c r="F2290" s="3">
        <v>354.96</v>
      </c>
      <c r="G2290" t="s">
        <v>57</v>
      </c>
      <c r="H2290" s="1" t="s">
        <v>60</v>
      </c>
      <c r="I2290">
        <f>-22352/861176466/1</f>
        <v>-2.5955191395116456E-05</v>
      </c>
      <c r="J2290" t="s">
        <v>1317</v>
      </c>
      <c r="K2290" t="s">
        <v>241</v>
      </c>
      <c r="L2290" t="s">
        <v>1318</v>
      </c>
      <c r="N2290" t="s">
        <v>58</v>
      </c>
    </row>
    <row r="2291" spans="1:14" ht="15">
      <c r="A2291" s="4">
        <v>201403</v>
      </c>
      <c r="B2291" t="s">
        <v>1316</v>
      </c>
      <c r="C2291" s="5">
        <v>6531306</v>
      </c>
      <c r="D2291" s="2" t="s">
        <v>1319</v>
      </c>
      <c r="E2291" s="2" t="s">
        <v>169</v>
      </c>
      <c r="F2291" s="3">
        <v>5916</v>
      </c>
      <c r="G2291" t="s">
        <v>61</v>
      </c>
      <c r="H2291" s="1" t="s">
        <v>60</v>
      </c>
      <c r="I2291" t="s">
        <v>1320</v>
      </c>
      <c r="J2291" t="s">
        <v>1317</v>
      </c>
      <c r="K2291" t="s">
        <v>241</v>
      </c>
      <c r="L2291" t="s">
        <v>1318</v>
      </c>
      <c r="M2291">
        <v>897056</v>
      </c>
      <c r="N2291">
        <v>861176466</v>
      </c>
    </row>
    <row r="2292" spans="1:13" ht="15">
      <c r="A2292" s="4">
        <v>201403</v>
      </c>
      <c r="B2292" t="s">
        <v>1316</v>
      </c>
      <c r="C2292" s="5">
        <v>6532528</v>
      </c>
      <c r="D2292" s="2" t="s">
        <v>688</v>
      </c>
      <c r="E2292" s="2" t="s">
        <v>15</v>
      </c>
      <c r="F2292" s="3">
        <v>12995</v>
      </c>
      <c r="G2292" t="s">
        <v>687</v>
      </c>
      <c r="H2292" s="1" t="s">
        <v>44</v>
      </c>
      <c r="I2292" t="e">
        <f>-Eddy Current INSPECTION of TC2 Condenser</f>
        <v>#NAME?</v>
      </c>
      <c r="J2292" t="s">
        <v>1317</v>
      </c>
      <c r="K2292" t="s">
        <v>241</v>
      </c>
      <c r="L2292" t="s">
        <v>1318</v>
      </c>
      <c r="M2292">
        <v>898395</v>
      </c>
    </row>
    <row r="2293" spans="1:12" ht="15">
      <c r="A2293" s="4">
        <v>201404</v>
      </c>
      <c r="B2293" t="s">
        <v>1321</v>
      </c>
      <c r="C2293" s="5">
        <v>6559837</v>
      </c>
      <c r="D2293" s="2" t="s">
        <v>1324</v>
      </c>
      <c r="E2293" s="2" t="s">
        <v>15</v>
      </c>
      <c r="F2293" s="3">
        <v>26.7</v>
      </c>
      <c r="H2293" s="1" t="s">
        <v>14</v>
      </c>
      <c r="I2293" t="s">
        <v>90</v>
      </c>
      <c r="J2293" t="s">
        <v>1322</v>
      </c>
      <c r="K2293" t="s">
        <v>1303</v>
      </c>
      <c r="L2293" t="s">
        <v>1323</v>
      </c>
    </row>
    <row r="2294" spans="1:12" ht="15">
      <c r="A2294" s="4">
        <v>201404</v>
      </c>
      <c r="B2294" t="s">
        <v>1321</v>
      </c>
      <c r="C2294" s="5">
        <v>6559837</v>
      </c>
      <c r="D2294" s="2" t="s">
        <v>1324</v>
      </c>
      <c r="E2294" s="2" t="s">
        <v>15</v>
      </c>
      <c r="F2294" s="3">
        <v>33.94</v>
      </c>
      <c r="H2294" s="1" t="s">
        <v>14</v>
      </c>
      <c r="I2294" t="s">
        <v>1325</v>
      </c>
      <c r="J2294" t="s">
        <v>1322</v>
      </c>
      <c r="K2294" t="s">
        <v>1303</v>
      </c>
      <c r="L2294" t="s">
        <v>1323</v>
      </c>
    </row>
    <row r="2295" spans="1:12" ht="15">
      <c r="A2295" s="4">
        <v>201404</v>
      </c>
      <c r="B2295" t="s">
        <v>1321</v>
      </c>
      <c r="C2295" s="5">
        <v>6559837</v>
      </c>
      <c r="D2295" s="2" t="s">
        <v>1324</v>
      </c>
      <c r="E2295" s="2" t="s">
        <v>15</v>
      </c>
      <c r="F2295" s="3">
        <v>44</v>
      </c>
      <c r="H2295" s="1" t="s">
        <v>14</v>
      </c>
      <c r="I2295" t="s">
        <v>390</v>
      </c>
      <c r="J2295" t="s">
        <v>1322</v>
      </c>
      <c r="K2295" t="s">
        <v>1303</v>
      </c>
      <c r="L2295" t="s">
        <v>1323</v>
      </c>
    </row>
    <row r="2296" spans="1:14" ht="15">
      <c r="A2296" s="4">
        <v>201405</v>
      </c>
      <c r="B2296" t="s">
        <v>1321</v>
      </c>
      <c r="C2296" s="5">
        <v>6559837</v>
      </c>
      <c r="D2296" s="2" t="s">
        <v>1324</v>
      </c>
      <c r="E2296" s="2" t="s">
        <v>15</v>
      </c>
      <c r="F2296" s="3">
        <v>38.4</v>
      </c>
      <c r="G2296" t="s">
        <v>57</v>
      </c>
      <c r="H2296" s="1" t="s">
        <v>60</v>
      </c>
      <c r="I2296">
        <f>-53634/24667/1</f>
        <v>-2.1743219686220456</v>
      </c>
      <c r="J2296" t="s">
        <v>1322</v>
      </c>
      <c r="K2296" t="s">
        <v>1303</v>
      </c>
      <c r="L2296" t="s">
        <v>1323</v>
      </c>
      <c r="N2296" t="s">
        <v>58</v>
      </c>
    </row>
    <row r="2297" spans="1:13" ht="15">
      <c r="A2297" s="4">
        <v>201405</v>
      </c>
      <c r="B2297" t="s">
        <v>1321</v>
      </c>
      <c r="C2297" s="5">
        <v>6559837</v>
      </c>
      <c r="D2297" s="2" t="s">
        <v>1324</v>
      </c>
      <c r="E2297" s="2" t="s">
        <v>15</v>
      </c>
      <c r="F2297" s="3">
        <v>640</v>
      </c>
      <c r="G2297" t="s">
        <v>1326</v>
      </c>
      <c r="H2297" s="1" t="s">
        <v>60</v>
      </c>
      <c r="I2297" t="s">
        <v>1327</v>
      </c>
      <c r="J2297" t="s">
        <v>1322</v>
      </c>
      <c r="K2297" t="s">
        <v>1303</v>
      </c>
      <c r="L2297" t="s">
        <v>1323</v>
      </c>
      <c r="M2297">
        <v>903693</v>
      </c>
    </row>
    <row r="2298" spans="1:12" ht="15">
      <c r="A2298" s="4">
        <v>201404</v>
      </c>
      <c r="B2298" t="s">
        <v>1321</v>
      </c>
      <c r="C2298" s="5">
        <v>6559837</v>
      </c>
      <c r="D2298" s="2" t="s">
        <v>1324</v>
      </c>
      <c r="E2298" s="2" t="s">
        <v>15</v>
      </c>
      <c r="F2298" s="3">
        <v>4.88</v>
      </c>
      <c r="H2298" s="1" t="s">
        <v>66</v>
      </c>
      <c r="I2298" t="s">
        <v>67</v>
      </c>
      <c r="J2298" t="s">
        <v>1322</v>
      </c>
      <c r="K2298" t="s">
        <v>1303</v>
      </c>
      <c r="L2298" t="s">
        <v>1323</v>
      </c>
    </row>
    <row r="2299" spans="1:12" ht="15">
      <c r="A2299" s="4">
        <v>201407</v>
      </c>
      <c r="B2299" t="s">
        <v>1321</v>
      </c>
      <c r="C2299" s="5">
        <v>6559837</v>
      </c>
      <c r="D2299" s="2" t="s">
        <v>1324</v>
      </c>
      <c r="E2299" s="2" t="s">
        <v>15</v>
      </c>
      <c r="F2299" s="3">
        <v>0.36</v>
      </c>
      <c r="H2299" s="1" t="s">
        <v>66</v>
      </c>
      <c r="I2299" t="s">
        <v>67</v>
      </c>
      <c r="J2299" t="s">
        <v>1322</v>
      </c>
      <c r="K2299" t="s">
        <v>1303</v>
      </c>
      <c r="L2299" t="s">
        <v>1323</v>
      </c>
    </row>
    <row r="2300" spans="1:12" ht="15">
      <c r="A2300" s="4">
        <v>201404</v>
      </c>
      <c r="B2300" t="s">
        <v>1321</v>
      </c>
      <c r="C2300" s="5">
        <v>6559837</v>
      </c>
      <c r="D2300" s="2" t="s">
        <v>1324</v>
      </c>
      <c r="E2300" s="2" t="s">
        <v>15</v>
      </c>
      <c r="F2300" s="3">
        <v>0</v>
      </c>
      <c r="H2300" s="1" t="s">
        <v>68</v>
      </c>
      <c r="J2300" t="s">
        <v>1322</v>
      </c>
      <c r="K2300" t="s">
        <v>1303</v>
      </c>
      <c r="L2300" t="s">
        <v>1323</v>
      </c>
    </row>
    <row r="2301" spans="1:12" ht="15">
      <c r="A2301" s="4">
        <v>201404</v>
      </c>
      <c r="B2301" t="s">
        <v>1321</v>
      </c>
      <c r="C2301" s="5">
        <v>6559837</v>
      </c>
      <c r="D2301" s="2" t="s">
        <v>1324</v>
      </c>
      <c r="E2301" s="2" t="s">
        <v>15</v>
      </c>
      <c r="F2301" s="3">
        <v>6</v>
      </c>
      <c r="H2301" s="1" t="s">
        <v>68</v>
      </c>
      <c r="J2301" t="s">
        <v>1322</v>
      </c>
      <c r="K2301" t="s">
        <v>1303</v>
      </c>
      <c r="L2301" t="s">
        <v>1323</v>
      </c>
    </row>
    <row r="2302" spans="1:14" ht="15">
      <c r="A2302" s="4">
        <v>201405</v>
      </c>
      <c r="B2302" t="s">
        <v>1321</v>
      </c>
      <c r="C2302" s="5">
        <v>6559837</v>
      </c>
      <c r="D2302" s="2" t="s">
        <v>1324</v>
      </c>
      <c r="E2302" s="2" t="s">
        <v>15</v>
      </c>
      <c r="F2302" s="3">
        <v>2.28</v>
      </c>
      <c r="G2302" t="s">
        <v>57</v>
      </c>
      <c r="H2302" s="1" t="s">
        <v>69</v>
      </c>
      <c r="I2302">
        <f>-53634/24667/1</f>
        <v>-2.1743219686220456</v>
      </c>
      <c r="J2302" t="s">
        <v>1322</v>
      </c>
      <c r="K2302" t="s">
        <v>1303</v>
      </c>
      <c r="L2302" t="s">
        <v>1323</v>
      </c>
      <c r="N2302" t="s">
        <v>58</v>
      </c>
    </row>
    <row r="2303" spans="1:12" ht="15">
      <c r="A2303" s="4">
        <v>201405</v>
      </c>
      <c r="B2303" t="s">
        <v>1321</v>
      </c>
      <c r="C2303" s="5">
        <v>6559837</v>
      </c>
      <c r="D2303" s="2" t="s">
        <v>1324</v>
      </c>
      <c r="E2303" s="2" t="s">
        <v>15</v>
      </c>
      <c r="F2303" s="3">
        <v>38.01</v>
      </c>
      <c r="G2303" t="s">
        <v>1326</v>
      </c>
      <c r="H2303" s="1" t="s">
        <v>69</v>
      </c>
      <c r="I2303" t="e">
        <f>-freight</f>
        <v>#NAME?</v>
      </c>
      <c r="J2303" t="s">
        <v>1322</v>
      </c>
      <c r="K2303" t="s">
        <v>1303</v>
      </c>
      <c r="L2303" t="s">
        <v>1323</v>
      </c>
    </row>
    <row r="2304" spans="1:12" ht="15">
      <c r="A2304" s="4">
        <v>201406</v>
      </c>
      <c r="B2304" t="s">
        <v>1321</v>
      </c>
      <c r="C2304" s="5">
        <v>6582983</v>
      </c>
      <c r="D2304" s="2" t="s">
        <v>1329</v>
      </c>
      <c r="E2304" s="2" t="s">
        <v>261</v>
      </c>
      <c r="F2304" s="3">
        <v>82.69</v>
      </c>
      <c r="H2304" s="1" t="s">
        <v>14</v>
      </c>
      <c r="I2304" t="s">
        <v>1328</v>
      </c>
      <c r="J2304" t="s">
        <v>1322</v>
      </c>
      <c r="K2304" t="s">
        <v>1303</v>
      </c>
      <c r="L2304" t="s">
        <v>1323</v>
      </c>
    </row>
    <row r="2305" spans="1:12" ht="15">
      <c r="A2305" s="4">
        <v>201406</v>
      </c>
      <c r="B2305" t="s">
        <v>1321</v>
      </c>
      <c r="C2305" s="5">
        <v>6582983</v>
      </c>
      <c r="D2305" s="2" t="s">
        <v>1329</v>
      </c>
      <c r="E2305" s="2" t="s">
        <v>261</v>
      </c>
      <c r="F2305" s="3">
        <v>616.92</v>
      </c>
      <c r="H2305" s="1" t="s">
        <v>14</v>
      </c>
      <c r="I2305" t="s">
        <v>1330</v>
      </c>
      <c r="J2305" t="s">
        <v>1322</v>
      </c>
      <c r="K2305" t="s">
        <v>1303</v>
      </c>
      <c r="L2305" t="s">
        <v>1323</v>
      </c>
    </row>
    <row r="2306" spans="1:12" ht="15">
      <c r="A2306" s="4">
        <v>201406</v>
      </c>
      <c r="B2306" t="s">
        <v>1321</v>
      </c>
      <c r="C2306" s="5">
        <v>6582983</v>
      </c>
      <c r="D2306" s="2" t="s">
        <v>1329</v>
      </c>
      <c r="E2306" s="2" t="s">
        <v>261</v>
      </c>
      <c r="F2306" s="3">
        <v>2575</v>
      </c>
      <c r="H2306" s="1" t="s">
        <v>14</v>
      </c>
      <c r="I2306" t="s">
        <v>1331</v>
      </c>
      <c r="J2306" t="s">
        <v>1322</v>
      </c>
      <c r="K2306" t="s">
        <v>1303</v>
      </c>
      <c r="L2306" t="s">
        <v>1323</v>
      </c>
    </row>
    <row r="2307" spans="1:12" ht="15">
      <c r="A2307" s="4">
        <v>201406</v>
      </c>
      <c r="B2307" t="s">
        <v>1321</v>
      </c>
      <c r="C2307" s="5">
        <v>6582983</v>
      </c>
      <c r="D2307" s="2" t="s">
        <v>1329</v>
      </c>
      <c r="E2307" s="2" t="s">
        <v>261</v>
      </c>
      <c r="F2307" s="3">
        <v>4.55</v>
      </c>
      <c r="H2307" s="1" t="s">
        <v>66</v>
      </c>
      <c r="I2307" t="s">
        <v>67</v>
      </c>
      <c r="J2307" t="s">
        <v>1322</v>
      </c>
      <c r="K2307" t="s">
        <v>1303</v>
      </c>
      <c r="L2307" t="s">
        <v>1323</v>
      </c>
    </row>
    <row r="2308" spans="1:12" ht="15">
      <c r="A2308" s="4">
        <v>201407</v>
      </c>
      <c r="B2308" t="s">
        <v>1321</v>
      </c>
      <c r="C2308" s="5">
        <v>6582983</v>
      </c>
      <c r="D2308" s="2" t="s">
        <v>1329</v>
      </c>
      <c r="E2308" s="2" t="s">
        <v>261</v>
      </c>
      <c r="F2308" s="3">
        <v>7.87</v>
      </c>
      <c r="H2308" s="1" t="s">
        <v>66</v>
      </c>
      <c r="I2308" t="s">
        <v>67</v>
      </c>
      <c r="J2308" t="s">
        <v>1322</v>
      </c>
      <c r="K2308" t="s">
        <v>1303</v>
      </c>
      <c r="L2308" t="s">
        <v>1323</v>
      </c>
    </row>
    <row r="2309" spans="1:12" ht="15">
      <c r="A2309" s="4">
        <v>201407</v>
      </c>
      <c r="B2309" t="s">
        <v>1321</v>
      </c>
      <c r="C2309" s="5">
        <v>6582983</v>
      </c>
      <c r="D2309" s="2" t="s">
        <v>1329</v>
      </c>
      <c r="E2309" s="2" t="s">
        <v>261</v>
      </c>
      <c r="F2309" s="3">
        <v>0</v>
      </c>
      <c r="H2309" s="1" t="s">
        <v>68</v>
      </c>
      <c r="J2309" t="s">
        <v>1322</v>
      </c>
      <c r="K2309" t="s">
        <v>1303</v>
      </c>
      <c r="L2309" t="s">
        <v>1323</v>
      </c>
    </row>
    <row r="2310" spans="1:12" ht="15">
      <c r="A2310" s="4">
        <v>201407</v>
      </c>
      <c r="B2310" t="s">
        <v>1321</v>
      </c>
      <c r="C2310" s="5">
        <v>6582983</v>
      </c>
      <c r="D2310" s="2" t="s">
        <v>1329</v>
      </c>
      <c r="E2310" s="2" t="s">
        <v>261</v>
      </c>
      <c r="F2310" s="3">
        <v>0</v>
      </c>
      <c r="H2310" s="1" t="s">
        <v>68</v>
      </c>
      <c r="J2310" t="s">
        <v>1322</v>
      </c>
      <c r="K2310" t="s">
        <v>1303</v>
      </c>
      <c r="L2310" t="s">
        <v>1323</v>
      </c>
    </row>
    <row r="2311" spans="1:12" ht="15">
      <c r="A2311" s="4">
        <v>201407</v>
      </c>
      <c r="B2311" t="s">
        <v>1321</v>
      </c>
      <c r="C2311" s="5">
        <v>6582983</v>
      </c>
      <c r="D2311" s="2" t="s">
        <v>1329</v>
      </c>
      <c r="E2311" s="2" t="s">
        <v>261</v>
      </c>
      <c r="F2311" s="3">
        <v>0</v>
      </c>
      <c r="H2311" s="1" t="s">
        <v>68</v>
      </c>
      <c r="J2311" t="s">
        <v>1322</v>
      </c>
      <c r="K2311" t="s">
        <v>1303</v>
      </c>
      <c r="L2311" t="s">
        <v>1323</v>
      </c>
    </row>
    <row r="2312" spans="1:12" ht="15">
      <c r="A2312" s="4">
        <v>201407</v>
      </c>
      <c r="B2312" t="s">
        <v>1321</v>
      </c>
      <c r="C2312" s="5">
        <v>6582983</v>
      </c>
      <c r="D2312" s="2" t="s">
        <v>1329</v>
      </c>
      <c r="E2312" s="2" t="s">
        <v>261</v>
      </c>
      <c r="F2312" s="3">
        <v>0</v>
      </c>
      <c r="H2312" s="1" t="s">
        <v>68</v>
      </c>
      <c r="J2312" t="s">
        <v>1322</v>
      </c>
      <c r="K2312" t="s">
        <v>1303</v>
      </c>
      <c r="L2312" t="s">
        <v>1323</v>
      </c>
    </row>
    <row r="2313" spans="1:12" ht="15">
      <c r="A2313" s="4">
        <v>201407</v>
      </c>
      <c r="B2313" t="s">
        <v>1321</v>
      </c>
      <c r="C2313" s="5">
        <v>6582983</v>
      </c>
      <c r="D2313" s="2" t="s">
        <v>1329</v>
      </c>
      <c r="E2313" s="2" t="s">
        <v>261</v>
      </c>
      <c r="F2313" s="3">
        <v>0</v>
      </c>
      <c r="H2313" s="1" t="s">
        <v>68</v>
      </c>
      <c r="J2313" t="s">
        <v>1322</v>
      </c>
      <c r="K2313" t="s">
        <v>1303</v>
      </c>
      <c r="L2313" t="s">
        <v>1323</v>
      </c>
    </row>
    <row r="2314" spans="1:12" ht="15">
      <c r="A2314" s="4">
        <v>201407</v>
      </c>
      <c r="B2314" t="s">
        <v>1321</v>
      </c>
      <c r="C2314" s="5">
        <v>6582983</v>
      </c>
      <c r="D2314" s="2" t="s">
        <v>1329</v>
      </c>
      <c r="E2314" s="2" t="s">
        <v>261</v>
      </c>
      <c r="F2314" s="3">
        <v>42</v>
      </c>
      <c r="H2314" s="1" t="s">
        <v>68</v>
      </c>
      <c r="J2314" t="s">
        <v>1322</v>
      </c>
      <c r="K2314" t="s">
        <v>1303</v>
      </c>
      <c r="L2314" t="s">
        <v>1323</v>
      </c>
    </row>
    <row r="2315" spans="1:12" ht="15">
      <c r="A2315" s="4">
        <v>201406</v>
      </c>
      <c r="B2315" t="s">
        <v>1321</v>
      </c>
      <c r="C2315" s="5">
        <v>6583333</v>
      </c>
      <c r="D2315" s="2" t="s">
        <v>1333</v>
      </c>
      <c r="E2315" s="2" t="s">
        <v>261</v>
      </c>
      <c r="F2315" s="3">
        <v>6.6</v>
      </c>
      <c r="H2315" s="1" t="s">
        <v>14</v>
      </c>
      <c r="I2315" t="s">
        <v>1332</v>
      </c>
      <c r="J2315" t="s">
        <v>1322</v>
      </c>
      <c r="K2315" t="s">
        <v>1303</v>
      </c>
      <c r="L2315" t="s">
        <v>1323</v>
      </c>
    </row>
    <row r="2316" spans="1:12" ht="15">
      <c r="A2316" s="4">
        <v>201406</v>
      </c>
      <c r="B2316" t="s">
        <v>1321</v>
      </c>
      <c r="C2316" s="5">
        <v>6583333</v>
      </c>
      <c r="D2316" s="2" t="s">
        <v>1333</v>
      </c>
      <c r="E2316" s="2" t="s">
        <v>261</v>
      </c>
      <c r="F2316" s="3">
        <v>14.33</v>
      </c>
      <c r="H2316" s="1" t="s">
        <v>14</v>
      </c>
      <c r="I2316" t="s">
        <v>1334</v>
      </c>
      <c r="J2316" t="s">
        <v>1322</v>
      </c>
      <c r="K2316" t="s">
        <v>1303</v>
      </c>
      <c r="L2316" t="s">
        <v>1323</v>
      </c>
    </row>
    <row r="2317" spans="1:12" ht="15">
      <c r="A2317" s="4">
        <v>201406</v>
      </c>
      <c r="B2317" t="s">
        <v>1321</v>
      </c>
      <c r="C2317" s="5">
        <v>6583333</v>
      </c>
      <c r="D2317" s="2" t="s">
        <v>1333</v>
      </c>
      <c r="E2317" s="2" t="s">
        <v>261</v>
      </c>
      <c r="F2317" s="3">
        <v>22.2</v>
      </c>
      <c r="H2317" s="1" t="s">
        <v>14</v>
      </c>
      <c r="I2317" t="s">
        <v>36</v>
      </c>
      <c r="J2317" t="s">
        <v>1322</v>
      </c>
      <c r="K2317" t="s">
        <v>1303</v>
      </c>
      <c r="L2317" t="s">
        <v>1323</v>
      </c>
    </row>
    <row r="2318" spans="1:12" ht="15">
      <c r="A2318" s="4">
        <v>201406</v>
      </c>
      <c r="B2318" t="s">
        <v>1321</v>
      </c>
      <c r="C2318" s="5">
        <v>6583333</v>
      </c>
      <c r="D2318" s="2" t="s">
        <v>1333</v>
      </c>
      <c r="E2318" s="2" t="s">
        <v>261</v>
      </c>
      <c r="F2318" s="3">
        <v>31.65</v>
      </c>
      <c r="H2318" s="1" t="s">
        <v>14</v>
      </c>
      <c r="I2318" t="s">
        <v>386</v>
      </c>
      <c r="J2318" t="s">
        <v>1322</v>
      </c>
      <c r="K2318" t="s">
        <v>1303</v>
      </c>
      <c r="L2318" t="s">
        <v>1323</v>
      </c>
    </row>
    <row r="2319" spans="1:12" ht="15">
      <c r="A2319" s="4">
        <v>201406</v>
      </c>
      <c r="B2319" t="s">
        <v>1321</v>
      </c>
      <c r="C2319" s="5">
        <v>6583333</v>
      </c>
      <c r="D2319" s="2" t="s">
        <v>1333</v>
      </c>
      <c r="E2319" s="2" t="s">
        <v>261</v>
      </c>
      <c r="F2319" s="3">
        <v>63.85</v>
      </c>
      <c r="H2319" s="1" t="s">
        <v>14</v>
      </c>
      <c r="I2319" t="s">
        <v>1335</v>
      </c>
      <c r="J2319" t="s">
        <v>1322</v>
      </c>
      <c r="K2319" t="s">
        <v>1303</v>
      </c>
      <c r="L2319" t="s">
        <v>1323</v>
      </c>
    </row>
    <row r="2320" spans="1:12" ht="15">
      <c r="A2320" s="4">
        <v>201407</v>
      </c>
      <c r="B2320" t="s">
        <v>1321</v>
      </c>
      <c r="C2320" s="5">
        <v>6583333</v>
      </c>
      <c r="D2320" s="2" t="s">
        <v>1333</v>
      </c>
      <c r="E2320" s="2" t="s">
        <v>261</v>
      </c>
      <c r="F2320" s="3">
        <v>0.38</v>
      </c>
      <c r="H2320" s="1" t="s">
        <v>14</v>
      </c>
      <c r="I2320" t="s">
        <v>1336</v>
      </c>
      <c r="J2320" t="s">
        <v>1322</v>
      </c>
      <c r="K2320" t="s">
        <v>1303</v>
      </c>
      <c r="L2320" t="s">
        <v>1323</v>
      </c>
    </row>
    <row r="2321" spans="1:12" ht="15">
      <c r="A2321" s="4">
        <v>201407</v>
      </c>
      <c r="B2321" t="s">
        <v>1321</v>
      </c>
      <c r="C2321" s="5">
        <v>6583333</v>
      </c>
      <c r="D2321" s="2" t="s">
        <v>1333</v>
      </c>
      <c r="E2321" s="2" t="s">
        <v>261</v>
      </c>
      <c r="F2321" s="3">
        <v>0.58</v>
      </c>
      <c r="H2321" s="1" t="s">
        <v>14</v>
      </c>
      <c r="I2321" t="s">
        <v>1337</v>
      </c>
      <c r="J2321" t="s">
        <v>1322</v>
      </c>
      <c r="K2321" t="s">
        <v>1303</v>
      </c>
      <c r="L2321" t="s">
        <v>1323</v>
      </c>
    </row>
    <row r="2322" spans="1:12" ht="15">
      <c r="A2322" s="4">
        <v>201407</v>
      </c>
      <c r="B2322" t="s">
        <v>1321</v>
      </c>
      <c r="C2322" s="5">
        <v>6583333</v>
      </c>
      <c r="D2322" s="2" t="s">
        <v>1333</v>
      </c>
      <c r="E2322" s="2" t="s">
        <v>261</v>
      </c>
      <c r="F2322" s="3">
        <v>0.63</v>
      </c>
      <c r="H2322" s="1" t="s">
        <v>14</v>
      </c>
      <c r="I2322" t="s">
        <v>113</v>
      </c>
      <c r="J2322" t="s">
        <v>1322</v>
      </c>
      <c r="K2322" t="s">
        <v>1303</v>
      </c>
      <c r="L2322" t="s">
        <v>1323</v>
      </c>
    </row>
    <row r="2323" spans="1:12" ht="15">
      <c r="A2323" s="4">
        <v>201407</v>
      </c>
      <c r="B2323" t="s">
        <v>1321</v>
      </c>
      <c r="C2323" s="5">
        <v>6583333</v>
      </c>
      <c r="D2323" s="2" t="s">
        <v>1333</v>
      </c>
      <c r="E2323" s="2" t="s">
        <v>261</v>
      </c>
      <c r="F2323" s="3">
        <v>7.06</v>
      </c>
      <c r="H2323" s="1" t="s">
        <v>14</v>
      </c>
      <c r="I2323" t="s">
        <v>769</v>
      </c>
      <c r="J2323" t="s">
        <v>1322</v>
      </c>
      <c r="K2323" t="s">
        <v>1303</v>
      </c>
      <c r="L2323" t="s">
        <v>1323</v>
      </c>
    </row>
    <row r="2324" spans="1:12" ht="15">
      <c r="A2324" s="4">
        <v>201407</v>
      </c>
      <c r="B2324" t="s">
        <v>1321</v>
      </c>
      <c r="C2324" s="5">
        <v>6583333</v>
      </c>
      <c r="D2324" s="2" t="s">
        <v>1333</v>
      </c>
      <c r="E2324" s="2" t="s">
        <v>261</v>
      </c>
      <c r="F2324" s="3">
        <v>8.68</v>
      </c>
      <c r="H2324" s="1" t="s">
        <v>14</v>
      </c>
      <c r="I2324" t="s">
        <v>1338</v>
      </c>
      <c r="J2324" t="s">
        <v>1322</v>
      </c>
      <c r="K2324" t="s">
        <v>1303</v>
      </c>
      <c r="L2324" t="s">
        <v>1323</v>
      </c>
    </row>
    <row r="2325" spans="1:12" ht="15">
      <c r="A2325" s="4">
        <v>201407</v>
      </c>
      <c r="B2325" t="s">
        <v>1321</v>
      </c>
      <c r="C2325" s="5">
        <v>6583333</v>
      </c>
      <c r="D2325" s="2" t="s">
        <v>1333</v>
      </c>
      <c r="E2325" s="2" t="s">
        <v>261</v>
      </c>
      <c r="F2325" s="3">
        <v>9.03</v>
      </c>
      <c r="H2325" s="1" t="s">
        <v>14</v>
      </c>
      <c r="I2325" t="s">
        <v>548</v>
      </c>
      <c r="J2325" t="s">
        <v>1322</v>
      </c>
      <c r="K2325" t="s">
        <v>1303</v>
      </c>
      <c r="L2325" t="s">
        <v>1323</v>
      </c>
    </row>
    <row r="2326" spans="1:12" ht="15">
      <c r="A2326" s="4">
        <v>201407</v>
      </c>
      <c r="B2326" t="s">
        <v>1321</v>
      </c>
      <c r="C2326" s="5">
        <v>6583333</v>
      </c>
      <c r="D2326" s="2" t="s">
        <v>1333</v>
      </c>
      <c r="E2326" s="2" t="s">
        <v>261</v>
      </c>
      <c r="F2326" s="3">
        <v>9.91</v>
      </c>
      <c r="H2326" s="1" t="s">
        <v>14</v>
      </c>
      <c r="I2326" t="s">
        <v>626</v>
      </c>
      <c r="J2326" t="s">
        <v>1322</v>
      </c>
      <c r="K2326" t="s">
        <v>1303</v>
      </c>
      <c r="L2326" t="s">
        <v>1323</v>
      </c>
    </row>
    <row r="2327" spans="1:12" ht="15">
      <c r="A2327" s="4">
        <v>201407</v>
      </c>
      <c r="B2327" t="s">
        <v>1321</v>
      </c>
      <c r="C2327" s="5">
        <v>6583333</v>
      </c>
      <c r="D2327" s="2" t="s">
        <v>1333</v>
      </c>
      <c r="E2327" s="2" t="s">
        <v>261</v>
      </c>
      <c r="F2327" s="3">
        <v>11.56</v>
      </c>
      <c r="H2327" s="1" t="s">
        <v>14</v>
      </c>
      <c r="I2327" t="s">
        <v>338</v>
      </c>
      <c r="J2327" t="s">
        <v>1322</v>
      </c>
      <c r="K2327" t="s">
        <v>1303</v>
      </c>
      <c r="L2327" t="s">
        <v>1323</v>
      </c>
    </row>
    <row r="2328" spans="1:12" ht="15">
      <c r="A2328" s="4">
        <v>201407</v>
      </c>
      <c r="B2328" t="s">
        <v>1321</v>
      </c>
      <c r="C2328" s="5">
        <v>6583333</v>
      </c>
      <c r="D2328" s="2" t="s">
        <v>1333</v>
      </c>
      <c r="E2328" s="2" t="s">
        <v>261</v>
      </c>
      <c r="F2328" s="3">
        <v>13.26</v>
      </c>
      <c r="H2328" s="1" t="s">
        <v>14</v>
      </c>
      <c r="I2328" t="s">
        <v>606</v>
      </c>
      <c r="J2328" t="s">
        <v>1322</v>
      </c>
      <c r="K2328" t="s">
        <v>1303</v>
      </c>
      <c r="L2328" t="s">
        <v>1323</v>
      </c>
    </row>
    <row r="2329" spans="1:12" ht="15">
      <c r="A2329" s="4">
        <v>201407</v>
      </c>
      <c r="B2329" t="s">
        <v>1321</v>
      </c>
      <c r="C2329" s="5">
        <v>6583333</v>
      </c>
      <c r="D2329" s="2" t="s">
        <v>1333</v>
      </c>
      <c r="E2329" s="2" t="s">
        <v>261</v>
      </c>
      <c r="F2329" s="3">
        <v>15.18</v>
      </c>
      <c r="H2329" s="1" t="s">
        <v>14</v>
      </c>
      <c r="I2329" t="s">
        <v>325</v>
      </c>
      <c r="J2329" t="s">
        <v>1322</v>
      </c>
      <c r="K2329" t="s">
        <v>1303</v>
      </c>
      <c r="L2329" t="s">
        <v>1323</v>
      </c>
    </row>
    <row r="2330" spans="1:12" ht="15">
      <c r="A2330" s="4">
        <v>201407</v>
      </c>
      <c r="B2330" t="s">
        <v>1321</v>
      </c>
      <c r="C2330" s="5">
        <v>6583333</v>
      </c>
      <c r="D2330" s="2" t="s">
        <v>1333</v>
      </c>
      <c r="E2330" s="2" t="s">
        <v>261</v>
      </c>
      <c r="F2330" s="3">
        <v>15.48</v>
      </c>
      <c r="H2330" s="1" t="s">
        <v>14</v>
      </c>
      <c r="I2330" t="s">
        <v>375</v>
      </c>
      <c r="J2330" t="s">
        <v>1322</v>
      </c>
      <c r="K2330" t="s">
        <v>1303</v>
      </c>
      <c r="L2330" t="s">
        <v>1323</v>
      </c>
    </row>
    <row r="2331" spans="1:12" ht="15">
      <c r="A2331" s="4">
        <v>201407</v>
      </c>
      <c r="B2331" t="s">
        <v>1321</v>
      </c>
      <c r="C2331" s="5">
        <v>6583333</v>
      </c>
      <c r="D2331" s="2" t="s">
        <v>1333</v>
      </c>
      <c r="E2331" s="2" t="s">
        <v>261</v>
      </c>
      <c r="F2331" s="3">
        <v>18.1</v>
      </c>
      <c r="H2331" s="1" t="s">
        <v>14</v>
      </c>
      <c r="I2331" t="s">
        <v>339</v>
      </c>
      <c r="J2331" t="s">
        <v>1322</v>
      </c>
      <c r="K2331" t="s">
        <v>1303</v>
      </c>
      <c r="L2331" t="s">
        <v>1323</v>
      </c>
    </row>
    <row r="2332" spans="1:12" ht="15">
      <c r="A2332" s="4">
        <v>201407</v>
      </c>
      <c r="B2332" t="s">
        <v>1321</v>
      </c>
      <c r="C2332" s="5">
        <v>6583333</v>
      </c>
      <c r="D2332" s="2" t="s">
        <v>1333</v>
      </c>
      <c r="E2332" s="2" t="s">
        <v>261</v>
      </c>
      <c r="F2332" s="3">
        <v>18.37</v>
      </c>
      <c r="H2332" s="1" t="s">
        <v>14</v>
      </c>
      <c r="I2332" t="s">
        <v>1339</v>
      </c>
      <c r="J2332" t="s">
        <v>1322</v>
      </c>
      <c r="K2332" t="s">
        <v>1303</v>
      </c>
      <c r="L2332" t="s">
        <v>1323</v>
      </c>
    </row>
    <row r="2333" spans="1:12" ht="15">
      <c r="A2333" s="4">
        <v>201407</v>
      </c>
      <c r="B2333" t="s">
        <v>1321</v>
      </c>
      <c r="C2333" s="5">
        <v>6583333</v>
      </c>
      <c r="D2333" s="2" t="s">
        <v>1333</v>
      </c>
      <c r="E2333" s="2" t="s">
        <v>261</v>
      </c>
      <c r="F2333" s="3">
        <v>22.5</v>
      </c>
      <c r="H2333" s="1" t="s">
        <v>14</v>
      </c>
      <c r="I2333" t="s">
        <v>975</v>
      </c>
      <c r="J2333" t="s">
        <v>1322</v>
      </c>
      <c r="K2333" t="s">
        <v>1303</v>
      </c>
      <c r="L2333" t="s">
        <v>1323</v>
      </c>
    </row>
    <row r="2334" spans="1:12" ht="15">
      <c r="A2334" s="4">
        <v>201407</v>
      </c>
      <c r="B2334" t="s">
        <v>1321</v>
      </c>
      <c r="C2334" s="5">
        <v>6583333</v>
      </c>
      <c r="D2334" s="2" t="s">
        <v>1333</v>
      </c>
      <c r="E2334" s="2" t="s">
        <v>261</v>
      </c>
      <c r="F2334" s="3">
        <v>32.5</v>
      </c>
      <c r="H2334" s="1" t="s">
        <v>14</v>
      </c>
      <c r="I2334" t="s">
        <v>100</v>
      </c>
      <c r="J2334" t="s">
        <v>1322</v>
      </c>
      <c r="K2334" t="s">
        <v>1303</v>
      </c>
      <c r="L2334" t="s">
        <v>1323</v>
      </c>
    </row>
    <row r="2335" spans="1:12" ht="15">
      <c r="A2335" s="4">
        <v>201407</v>
      </c>
      <c r="B2335" t="s">
        <v>1321</v>
      </c>
      <c r="C2335" s="5">
        <v>6583333</v>
      </c>
      <c r="D2335" s="2" t="s">
        <v>1333</v>
      </c>
      <c r="E2335" s="2" t="s">
        <v>261</v>
      </c>
      <c r="F2335" s="3">
        <v>44.51</v>
      </c>
      <c r="H2335" s="1" t="s">
        <v>14</v>
      </c>
      <c r="I2335" t="s">
        <v>1340</v>
      </c>
      <c r="J2335" t="s">
        <v>1322</v>
      </c>
      <c r="K2335" t="s">
        <v>1303</v>
      </c>
      <c r="L2335" t="s">
        <v>1323</v>
      </c>
    </row>
    <row r="2336" spans="1:12" ht="15">
      <c r="A2336" s="4">
        <v>201407</v>
      </c>
      <c r="B2336" t="s">
        <v>1321</v>
      </c>
      <c r="C2336" s="5">
        <v>6583333</v>
      </c>
      <c r="D2336" s="2" t="s">
        <v>1333</v>
      </c>
      <c r="E2336" s="2" t="s">
        <v>261</v>
      </c>
      <c r="F2336" s="3">
        <v>75.17</v>
      </c>
      <c r="H2336" s="1" t="s">
        <v>14</v>
      </c>
      <c r="I2336" t="s">
        <v>1341</v>
      </c>
      <c r="J2336" t="s">
        <v>1322</v>
      </c>
      <c r="K2336" t="s">
        <v>1303</v>
      </c>
      <c r="L2336" t="s">
        <v>1323</v>
      </c>
    </row>
    <row r="2337" spans="1:12" ht="15">
      <c r="A2337" s="4">
        <v>201407</v>
      </c>
      <c r="B2337" t="s">
        <v>1321</v>
      </c>
      <c r="C2337" s="5">
        <v>6583333</v>
      </c>
      <c r="D2337" s="2" t="s">
        <v>1333</v>
      </c>
      <c r="E2337" s="2" t="s">
        <v>261</v>
      </c>
      <c r="F2337" s="3">
        <v>98.9</v>
      </c>
      <c r="H2337" s="1" t="s">
        <v>14</v>
      </c>
      <c r="I2337" t="s">
        <v>1342</v>
      </c>
      <c r="J2337" t="s">
        <v>1322</v>
      </c>
      <c r="K2337" t="s">
        <v>1303</v>
      </c>
      <c r="L2337" t="s">
        <v>1323</v>
      </c>
    </row>
    <row r="2338" spans="1:12" ht="15">
      <c r="A2338" s="4">
        <v>201407</v>
      </c>
      <c r="B2338" t="s">
        <v>1321</v>
      </c>
      <c r="C2338" s="5">
        <v>6583333</v>
      </c>
      <c r="D2338" s="2" t="s">
        <v>1333</v>
      </c>
      <c r="E2338" s="2" t="s">
        <v>261</v>
      </c>
      <c r="F2338" s="3">
        <v>99.47</v>
      </c>
      <c r="H2338" s="1" t="s">
        <v>14</v>
      </c>
      <c r="I2338" t="s">
        <v>608</v>
      </c>
      <c r="J2338" t="s">
        <v>1322</v>
      </c>
      <c r="K2338" t="s">
        <v>1303</v>
      </c>
      <c r="L2338" t="s">
        <v>1323</v>
      </c>
    </row>
    <row r="2339" spans="1:12" ht="15">
      <c r="A2339" s="4">
        <v>201407</v>
      </c>
      <c r="B2339" t="s">
        <v>1321</v>
      </c>
      <c r="C2339" s="5">
        <v>6583333</v>
      </c>
      <c r="D2339" s="2" t="s">
        <v>1333</v>
      </c>
      <c r="E2339" s="2" t="s">
        <v>261</v>
      </c>
      <c r="F2339" s="3">
        <v>100.58</v>
      </c>
      <c r="H2339" s="1" t="s">
        <v>14</v>
      </c>
      <c r="I2339" t="s">
        <v>646</v>
      </c>
      <c r="J2339" t="s">
        <v>1322</v>
      </c>
      <c r="K2339" t="s">
        <v>1303</v>
      </c>
      <c r="L2339" t="s">
        <v>1323</v>
      </c>
    </row>
    <row r="2340" spans="1:12" ht="15">
      <c r="A2340" s="4">
        <v>201406</v>
      </c>
      <c r="B2340" t="s">
        <v>1321</v>
      </c>
      <c r="C2340" s="5">
        <v>6583333</v>
      </c>
      <c r="D2340" s="2" t="s">
        <v>1333</v>
      </c>
      <c r="E2340" s="2" t="s">
        <v>261</v>
      </c>
      <c r="F2340" s="3">
        <v>2.71</v>
      </c>
      <c r="H2340" s="1" t="s">
        <v>66</v>
      </c>
      <c r="I2340" t="s">
        <v>67</v>
      </c>
      <c r="J2340" t="s">
        <v>1322</v>
      </c>
      <c r="K2340" t="s">
        <v>1303</v>
      </c>
      <c r="L2340" t="s">
        <v>1323</v>
      </c>
    </row>
    <row r="2341" spans="1:12" ht="15">
      <c r="A2341" s="4">
        <v>201407</v>
      </c>
      <c r="B2341" t="s">
        <v>1321</v>
      </c>
      <c r="C2341" s="5">
        <v>6583333</v>
      </c>
      <c r="D2341" s="2" t="s">
        <v>1333</v>
      </c>
      <c r="E2341" s="2" t="s">
        <v>261</v>
      </c>
      <c r="F2341" s="3">
        <v>23.6</v>
      </c>
      <c r="H2341" s="1" t="s">
        <v>66</v>
      </c>
      <c r="I2341" t="s">
        <v>67</v>
      </c>
      <c r="J2341" t="s">
        <v>1322</v>
      </c>
      <c r="K2341" t="s">
        <v>1303</v>
      </c>
      <c r="L2341" t="s">
        <v>1323</v>
      </c>
    </row>
    <row r="2342" spans="1:12" ht="15">
      <c r="A2342" s="4">
        <v>201406</v>
      </c>
      <c r="B2342" t="s">
        <v>1321</v>
      </c>
      <c r="C2342" s="5">
        <v>6583333</v>
      </c>
      <c r="D2342" s="2" t="s">
        <v>1333</v>
      </c>
      <c r="E2342" s="2" t="s">
        <v>261</v>
      </c>
      <c r="F2342" s="3">
        <v>0</v>
      </c>
      <c r="H2342" s="1" t="s">
        <v>68</v>
      </c>
      <c r="J2342" t="s">
        <v>1322</v>
      </c>
      <c r="K2342" t="s">
        <v>1303</v>
      </c>
      <c r="L2342" t="s">
        <v>1323</v>
      </c>
    </row>
    <row r="2343" spans="1:12" ht="15">
      <c r="A2343" s="4">
        <v>201406</v>
      </c>
      <c r="B2343" t="s">
        <v>1321</v>
      </c>
      <c r="C2343" s="5">
        <v>6583333</v>
      </c>
      <c r="D2343" s="2" t="s">
        <v>1333</v>
      </c>
      <c r="E2343" s="2" t="s">
        <v>261</v>
      </c>
      <c r="F2343" s="3">
        <v>0</v>
      </c>
      <c r="H2343" s="1" t="s">
        <v>68</v>
      </c>
      <c r="J2343" t="s">
        <v>1322</v>
      </c>
      <c r="K2343" t="s">
        <v>1303</v>
      </c>
      <c r="L2343" t="s">
        <v>1323</v>
      </c>
    </row>
    <row r="2344" spans="1:12" ht="15">
      <c r="A2344" s="4">
        <v>201406</v>
      </c>
      <c r="B2344" t="s">
        <v>1321</v>
      </c>
      <c r="C2344" s="5">
        <v>6583333</v>
      </c>
      <c r="D2344" s="2" t="s">
        <v>1333</v>
      </c>
      <c r="E2344" s="2" t="s">
        <v>261</v>
      </c>
      <c r="F2344" s="3">
        <v>12</v>
      </c>
      <c r="H2344" s="1" t="s">
        <v>68</v>
      </c>
      <c r="J2344" t="s">
        <v>1322</v>
      </c>
      <c r="K2344" t="s">
        <v>1303</v>
      </c>
      <c r="L2344" t="s">
        <v>1323</v>
      </c>
    </row>
    <row r="2345" spans="1:12" ht="15">
      <c r="A2345" s="4">
        <v>201407</v>
      </c>
      <c r="B2345" t="s">
        <v>1321</v>
      </c>
      <c r="C2345" s="5">
        <v>6583333</v>
      </c>
      <c r="D2345" s="2" t="s">
        <v>1333</v>
      </c>
      <c r="E2345" s="2" t="s">
        <v>261</v>
      </c>
      <c r="F2345" s="3">
        <v>0</v>
      </c>
      <c r="H2345" s="1" t="s">
        <v>68</v>
      </c>
      <c r="J2345" t="s">
        <v>1322</v>
      </c>
      <c r="K2345" t="s">
        <v>1303</v>
      </c>
      <c r="L2345" t="s">
        <v>1323</v>
      </c>
    </row>
    <row r="2346" spans="1:12" ht="15">
      <c r="A2346" s="4">
        <v>201407</v>
      </c>
      <c r="B2346" t="s">
        <v>1321</v>
      </c>
      <c r="C2346" s="5">
        <v>6583333</v>
      </c>
      <c r="D2346" s="2" t="s">
        <v>1333</v>
      </c>
      <c r="E2346" s="2" t="s">
        <v>261</v>
      </c>
      <c r="F2346" s="3">
        <v>0</v>
      </c>
      <c r="H2346" s="1" t="s">
        <v>68</v>
      </c>
      <c r="J2346" t="s">
        <v>1322</v>
      </c>
      <c r="K2346" t="s">
        <v>1303</v>
      </c>
      <c r="L2346" t="s">
        <v>1323</v>
      </c>
    </row>
    <row r="2347" spans="1:12" ht="15">
      <c r="A2347" s="4">
        <v>201407</v>
      </c>
      <c r="B2347" t="s">
        <v>1321</v>
      </c>
      <c r="C2347" s="5">
        <v>6583333</v>
      </c>
      <c r="D2347" s="2" t="s">
        <v>1333</v>
      </c>
      <c r="E2347" s="2" t="s">
        <v>261</v>
      </c>
      <c r="F2347" s="3">
        <v>0</v>
      </c>
      <c r="H2347" s="1" t="s">
        <v>68</v>
      </c>
      <c r="J2347" t="s">
        <v>1322</v>
      </c>
      <c r="K2347" t="s">
        <v>1303</v>
      </c>
      <c r="L2347" t="s">
        <v>1323</v>
      </c>
    </row>
    <row r="2348" spans="1:12" ht="15">
      <c r="A2348" s="4">
        <v>201407</v>
      </c>
      <c r="B2348" t="s">
        <v>1321</v>
      </c>
      <c r="C2348" s="5">
        <v>6583333</v>
      </c>
      <c r="D2348" s="2" t="s">
        <v>1333</v>
      </c>
      <c r="E2348" s="2" t="s">
        <v>261</v>
      </c>
      <c r="F2348" s="3">
        <v>0</v>
      </c>
      <c r="H2348" s="1" t="s">
        <v>68</v>
      </c>
      <c r="J2348" t="s">
        <v>1322</v>
      </c>
      <c r="K2348" t="s">
        <v>1303</v>
      </c>
      <c r="L2348" t="s">
        <v>1323</v>
      </c>
    </row>
    <row r="2349" spans="1:12" ht="15">
      <c r="A2349" s="4">
        <v>201407</v>
      </c>
      <c r="B2349" t="s">
        <v>1321</v>
      </c>
      <c r="C2349" s="5">
        <v>6583333</v>
      </c>
      <c r="D2349" s="2" t="s">
        <v>1333</v>
      </c>
      <c r="E2349" s="2" t="s">
        <v>261</v>
      </c>
      <c r="F2349" s="3">
        <v>0</v>
      </c>
      <c r="H2349" s="1" t="s">
        <v>68</v>
      </c>
      <c r="J2349" t="s">
        <v>1322</v>
      </c>
      <c r="K2349" t="s">
        <v>1303</v>
      </c>
      <c r="L2349" t="s">
        <v>1323</v>
      </c>
    </row>
    <row r="2350" spans="1:12" ht="15">
      <c r="A2350" s="4">
        <v>201407</v>
      </c>
      <c r="B2350" t="s">
        <v>1321</v>
      </c>
      <c r="C2350" s="5">
        <v>6583333</v>
      </c>
      <c r="D2350" s="2" t="s">
        <v>1333</v>
      </c>
      <c r="E2350" s="2" t="s">
        <v>261</v>
      </c>
      <c r="F2350" s="3">
        <v>102</v>
      </c>
      <c r="H2350" s="1" t="s">
        <v>68</v>
      </c>
      <c r="J2350" t="s">
        <v>1322</v>
      </c>
      <c r="K2350" t="s">
        <v>1303</v>
      </c>
      <c r="L2350" t="s">
        <v>1323</v>
      </c>
    </row>
    <row r="2351" spans="1:14" ht="15">
      <c r="A2351" s="4">
        <v>201407</v>
      </c>
      <c r="B2351" t="s">
        <v>1321</v>
      </c>
      <c r="C2351" s="5">
        <v>6583333</v>
      </c>
      <c r="D2351" s="2" t="s">
        <v>1333</v>
      </c>
      <c r="E2351" s="2" t="s">
        <v>261</v>
      </c>
      <c r="F2351" s="3">
        <v>10.5</v>
      </c>
      <c r="G2351" t="s">
        <v>57</v>
      </c>
      <c r="H2351" s="1" t="s">
        <v>69</v>
      </c>
      <c r="I2351">
        <f>-65289/63021/1</f>
        <v>-1.035988003998667</v>
      </c>
      <c r="J2351" t="s">
        <v>1322</v>
      </c>
      <c r="K2351" t="s">
        <v>1303</v>
      </c>
      <c r="L2351" t="s">
        <v>1323</v>
      </c>
      <c r="N2351" t="s">
        <v>58</v>
      </c>
    </row>
    <row r="2352" spans="1:12" ht="15">
      <c r="A2352" s="4">
        <v>201407</v>
      </c>
      <c r="B2352" t="s">
        <v>1321</v>
      </c>
      <c r="C2352" s="5">
        <v>6583333</v>
      </c>
      <c r="D2352" s="2" t="s">
        <v>1333</v>
      </c>
      <c r="E2352" s="2" t="s">
        <v>261</v>
      </c>
      <c r="F2352" s="3">
        <v>175</v>
      </c>
      <c r="G2352" t="s">
        <v>282</v>
      </c>
      <c r="H2352" s="1" t="s">
        <v>69</v>
      </c>
      <c r="I2352" t="e">
        <f>-freight from McJunkin TO Trimble</f>
        <v>#NAME?</v>
      </c>
      <c r="J2352" t="s">
        <v>1322</v>
      </c>
      <c r="K2352" t="s">
        <v>1303</v>
      </c>
      <c r="L2352" t="s">
        <v>1323</v>
      </c>
    </row>
    <row r="2353" spans="1:14" ht="15">
      <c r="A2353" s="4">
        <v>201407</v>
      </c>
      <c r="B2353" t="s">
        <v>1321</v>
      </c>
      <c r="C2353" s="5">
        <v>6583335</v>
      </c>
      <c r="D2353" s="2" t="s">
        <v>1343</v>
      </c>
      <c r="E2353" s="2" t="s">
        <v>99</v>
      </c>
      <c r="F2353" s="3">
        <v>47.33</v>
      </c>
      <c r="G2353" t="s">
        <v>57</v>
      </c>
      <c r="H2353" s="1" t="s">
        <v>60</v>
      </c>
      <c r="I2353">
        <f>-22300/9505807/1</f>
        <v>-0.0023459344377599924</v>
      </c>
      <c r="J2353" t="s">
        <v>1322</v>
      </c>
      <c r="K2353" t="s">
        <v>1303</v>
      </c>
      <c r="L2353" t="s">
        <v>1323</v>
      </c>
      <c r="N2353" t="s">
        <v>58</v>
      </c>
    </row>
    <row r="2354" spans="1:13" ht="15">
      <c r="A2354" s="4">
        <v>201407</v>
      </c>
      <c r="B2354" t="s">
        <v>1321</v>
      </c>
      <c r="C2354" s="5">
        <v>6583335</v>
      </c>
      <c r="D2354" s="2" t="s">
        <v>1343</v>
      </c>
      <c r="E2354" s="2" t="s">
        <v>99</v>
      </c>
      <c r="F2354" s="3">
        <v>788.8</v>
      </c>
      <c r="G2354" t="s">
        <v>668</v>
      </c>
      <c r="H2354" s="1" t="s">
        <v>60</v>
      </c>
      <c r="I2354" t="e">
        <f>-directional HYDRAULIC VALVE with Viton Seals</f>
        <v>#NAME?</v>
      </c>
      <c r="J2354" t="s">
        <v>1322</v>
      </c>
      <c r="K2354" t="s">
        <v>1303</v>
      </c>
      <c r="L2354" t="s">
        <v>1323</v>
      </c>
      <c r="M2354">
        <v>908690</v>
      </c>
    </row>
    <row r="2355" spans="1:12" ht="15">
      <c r="A2355" s="4">
        <v>201407</v>
      </c>
      <c r="B2355" t="s">
        <v>1321</v>
      </c>
      <c r="C2355" s="5">
        <v>6583335</v>
      </c>
      <c r="D2355" s="2" t="s">
        <v>1343</v>
      </c>
      <c r="E2355" s="2" t="s">
        <v>99</v>
      </c>
      <c r="F2355" s="3">
        <v>1073.4</v>
      </c>
      <c r="H2355" s="1" t="s">
        <v>60</v>
      </c>
      <c r="I2355" t="s">
        <v>1344</v>
      </c>
      <c r="J2355" t="s">
        <v>1322</v>
      </c>
      <c r="K2355" t="s">
        <v>1303</v>
      </c>
      <c r="L2355" t="s">
        <v>1323</v>
      </c>
    </row>
    <row r="2356" spans="1:12" ht="15">
      <c r="A2356" s="4">
        <v>201408</v>
      </c>
      <c r="B2356" t="s">
        <v>1321</v>
      </c>
      <c r="C2356" s="5">
        <v>6583335</v>
      </c>
      <c r="D2356" s="2" t="s">
        <v>1343</v>
      </c>
      <c r="E2356" s="2" t="s">
        <v>99</v>
      </c>
      <c r="F2356" s="3">
        <v>-1073.4</v>
      </c>
      <c r="H2356" s="1" t="s">
        <v>60</v>
      </c>
      <c r="I2356" t="s">
        <v>1344</v>
      </c>
      <c r="J2356" t="s">
        <v>1322</v>
      </c>
      <c r="K2356" t="s">
        <v>1303</v>
      </c>
      <c r="L2356" t="s">
        <v>1323</v>
      </c>
    </row>
    <row r="2357" spans="1:14" ht="15">
      <c r="A2357" s="4">
        <v>201408</v>
      </c>
      <c r="B2357" t="s">
        <v>1321</v>
      </c>
      <c r="C2357" s="5">
        <v>6583335</v>
      </c>
      <c r="D2357" s="2" t="s">
        <v>1343</v>
      </c>
      <c r="E2357" s="2" t="s">
        <v>99</v>
      </c>
      <c r="F2357" s="3">
        <v>178.85</v>
      </c>
      <c r="G2357" t="s">
        <v>57</v>
      </c>
      <c r="H2357" s="1" t="s">
        <v>60</v>
      </c>
      <c r="I2357" t="e">
        <f>-16294/KY67760275/1</f>
        <v>#NAME?</v>
      </c>
      <c r="J2357" t="s">
        <v>1322</v>
      </c>
      <c r="K2357" t="s">
        <v>1303</v>
      </c>
      <c r="L2357" t="s">
        <v>1323</v>
      </c>
      <c r="N2357" t="s">
        <v>58</v>
      </c>
    </row>
    <row r="2358" spans="1:13" ht="15">
      <c r="A2358" s="4">
        <v>201408</v>
      </c>
      <c r="B2358" t="s">
        <v>1321</v>
      </c>
      <c r="C2358" s="5">
        <v>6583335</v>
      </c>
      <c r="D2358" s="2" t="s">
        <v>1343</v>
      </c>
      <c r="E2358" s="2" t="s">
        <v>99</v>
      </c>
      <c r="F2358" s="3">
        <v>562.5</v>
      </c>
      <c r="G2358" t="s">
        <v>96</v>
      </c>
      <c r="H2358" s="1" t="s">
        <v>60</v>
      </c>
      <c r="I2358" t="s">
        <v>1345</v>
      </c>
      <c r="J2358" t="s">
        <v>1322</v>
      </c>
      <c r="K2358" t="s">
        <v>1303</v>
      </c>
      <c r="L2358" t="s">
        <v>1323</v>
      </c>
      <c r="M2358">
        <v>908466</v>
      </c>
    </row>
    <row r="2359" spans="1:13" ht="15">
      <c r="A2359" s="4">
        <v>201408</v>
      </c>
      <c r="B2359" t="s">
        <v>1321</v>
      </c>
      <c r="C2359" s="5">
        <v>6583335</v>
      </c>
      <c r="D2359" s="2" t="s">
        <v>1343</v>
      </c>
      <c r="E2359" s="2" t="s">
        <v>99</v>
      </c>
      <c r="F2359" s="3">
        <v>646.25</v>
      </c>
      <c r="G2359" t="s">
        <v>96</v>
      </c>
      <c r="H2359" s="1" t="s">
        <v>60</v>
      </c>
      <c r="I2359" t="e">
        <f>-EXPEDITE FEE</f>
        <v>#NAME?</v>
      </c>
      <c r="J2359" t="s">
        <v>1322</v>
      </c>
      <c r="K2359" t="s">
        <v>1303</v>
      </c>
      <c r="L2359" t="s">
        <v>1323</v>
      </c>
      <c r="M2359">
        <v>908466</v>
      </c>
    </row>
    <row r="2360" spans="1:13" ht="15">
      <c r="A2360" s="4">
        <v>201408</v>
      </c>
      <c r="B2360" t="s">
        <v>1321</v>
      </c>
      <c r="C2360" s="5">
        <v>6583335</v>
      </c>
      <c r="D2360" s="2" t="s">
        <v>1343</v>
      </c>
      <c r="E2360" s="2" t="s">
        <v>99</v>
      </c>
      <c r="F2360" s="3">
        <v>698.7</v>
      </c>
      <c r="G2360" t="s">
        <v>96</v>
      </c>
      <c r="H2360" s="1" t="s">
        <v>60</v>
      </c>
      <c r="I2360" t="s">
        <v>1346</v>
      </c>
      <c r="J2360" t="s">
        <v>1322</v>
      </c>
      <c r="K2360" t="s">
        <v>1303</v>
      </c>
      <c r="L2360" t="s">
        <v>1323</v>
      </c>
      <c r="M2360">
        <v>908466</v>
      </c>
    </row>
    <row r="2361" spans="1:13" ht="15">
      <c r="A2361" s="4">
        <v>201408</v>
      </c>
      <c r="B2361" t="s">
        <v>1321</v>
      </c>
      <c r="C2361" s="5">
        <v>6583335</v>
      </c>
      <c r="D2361" s="2" t="s">
        <v>1343</v>
      </c>
      <c r="E2361" s="2" t="s">
        <v>99</v>
      </c>
      <c r="F2361" s="3">
        <v>1073.4</v>
      </c>
      <c r="G2361" t="s">
        <v>96</v>
      </c>
      <c r="H2361" s="1" t="s">
        <v>60</v>
      </c>
      <c r="I2361" t="s">
        <v>1347</v>
      </c>
      <c r="J2361" t="s">
        <v>1322</v>
      </c>
      <c r="K2361" t="s">
        <v>1303</v>
      </c>
      <c r="L2361" t="s">
        <v>1323</v>
      </c>
      <c r="M2361">
        <v>908466</v>
      </c>
    </row>
    <row r="2362" spans="1:12" ht="15">
      <c r="A2362" s="4">
        <v>201407</v>
      </c>
      <c r="B2362" t="s">
        <v>1321</v>
      </c>
      <c r="C2362" s="5">
        <v>6583335</v>
      </c>
      <c r="D2362" s="2" t="s">
        <v>1343</v>
      </c>
      <c r="E2362" s="2" t="s">
        <v>99</v>
      </c>
      <c r="F2362" s="3">
        <v>0.76</v>
      </c>
      <c r="H2362" s="1" t="s">
        <v>66</v>
      </c>
      <c r="I2362" t="s">
        <v>67</v>
      </c>
      <c r="J2362" t="s">
        <v>1322</v>
      </c>
      <c r="K2362" t="s">
        <v>1303</v>
      </c>
      <c r="L2362" t="s">
        <v>1323</v>
      </c>
    </row>
    <row r="2363" spans="1:12" ht="15">
      <c r="A2363" s="4">
        <v>201408</v>
      </c>
      <c r="B2363" t="s">
        <v>1321</v>
      </c>
      <c r="C2363" s="5">
        <v>6583335</v>
      </c>
      <c r="D2363" s="2" t="s">
        <v>1343</v>
      </c>
      <c r="E2363" s="2" t="s">
        <v>99</v>
      </c>
      <c r="F2363" s="3">
        <v>0.22</v>
      </c>
      <c r="H2363" s="1" t="s">
        <v>66</v>
      </c>
      <c r="I2363" t="s">
        <v>67</v>
      </c>
      <c r="J2363" t="s">
        <v>1322</v>
      </c>
      <c r="K2363" t="s">
        <v>1303</v>
      </c>
      <c r="L2363" t="s">
        <v>1323</v>
      </c>
    </row>
    <row r="2364" spans="1:14" ht="15">
      <c r="A2364" s="4">
        <v>201407</v>
      </c>
      <c r="B2364" t="s">
        <v>1321</v>
      </c>
      <c r="C2364" s="5">
        <v>6583335</v>
      </c>
      <c r="D2364" s="2" t="s">
        <v>1343</v>
      </c>
      <c r="E2364" s="2" t="s">
        <v>99</v>
      </c>
      <c r="F2364" s="3">
        <v>3.12</v>
      </c>
      <c r="G2364" t="s">
        <v>57</v>
      </c>
      <c r="H2364" s="1" t="s">
        <v>69</v>
      </c>
      <c r="I2364">
        <f>-22300/9505807/1</f>
        <v>-0.0023459344377599924</v>
      </c>
      <c r="J2364" t="s">
        <v>1322</v>
      </c>
      <c r="K2364" t="s">
        <v>1303</v>
      </c>
      <c r="L2364" t="s">
        <v>1323</v>
      </c>
      <c r="N2364" t="s">
        <v>58</v>
      </c>
    </row>
    <row r="2365" spans="1:12" ht="15">
      <c r="A2365" s="4">
        <v>201407</v>
      </c>
      <c r="B2365" t="s">
        <v>1321</v>
      </c>
      <c r="C2365" s="5">
        <v>6583335</v>
      </c>
      <c r="D2365" s="2" t="s">
        <v>1343</v>
      </c>
      <c r="E2365" s="2" t="s">
        <v>99</v>
      </c>
      <c r="F2365" s="3">
        <v>51.92</v>
      </c>
      <c r="G2365" t="s">
        <v>668</v>
      </c>
      <c r="H2365" s="1" t="s">
        <v>69</v>
      </c>
      <c r="I2365" t="e">
        <f>-freight</f>
        <v>#NAME?</v>
      </c>
      <c r="J2365" t="s">
        <v>1322</v>
      </c>
      <c r="K2365" t="s">
        <v>1303</v>
      </c>
      <c r="L2365" t="s">
        <v>1323</v>
      </c>
    </row>
    <row r="2366" spans="1:14" ht="15">
      <c r="A2366" s="4">
        <v>201408</v>
      </c>
      <c r="B2366" t="s">
        <v>1321</v>
      </c>
      <c r="C2366" s="5">
        <v>6583335</v>
      </c>
      <c r="D2366" s="2" t="s">
        <v>1343</v>
      </c>
      <c r="E2366" s="2" t="s">
        <v>99</v>
      </c>
      <c r="F2366" s="3">
        <v>1.1</v>
      </c>
      <c r="G2366" t="s">
        <v>57</v>
      </c>
      <c r="H2366" s="1" t="s">
        <v>69</v>
      </c>
      <c r="I2366" t="e">
        <f>-16294/KY67760275/1</f>
        <v>#NAME?</v>
      </c>
      <c r="J2366" t="s">
        <v>1322</v>
      </c>
      <c r="K2366" t="s">
        <v>1303</v>
      </c>
      <c r="L2366" t="s">
        <v>1323</v>
      </c>
      <c r="N2366" t="s">
        <v>58</v>
      </c>
    </row>
    <row r="2367" spans="1:12" ht="15">
      <c r="A2367" s="4">
        <v>201408</v>
      </c>
      <c r="B2367" t="s">
        <v>1321</v>
      </c>
      <c r="C2367" s="5">
        <v>6583335</v>
      </c>
      <c r="D2367" s="2" t="s">
        <v>1343</v>
      </c>
      <c r="E2367" s="2" t="s">
        <v>99</v>
      </c>
      <c r="F2367" s="3">
        <v>18.32</v>
      </c>
      <c r="G2367" t="s">
        <v>96</v>
      </c>
      <c r="H2367" s="1" t="s">
        <v>69</v>
      </c>
      <c r="I2367" t="e">
        <f>-freight</f>
        <v>#NAME?</v>
      </c>
      <c r="J2367" t="s">
        <v>1322</v>
      </c>
      <c r="K2367" t="s">
        <v>1303</v>
      </c>
      <c r="L2367" t="s">
        <v>1323</v>
      </c>
    </row>
    <row r="2368" spans="1:12" ht="15">
      <c r="A2368" s="4">
        <v>201408</v>
      </c>
      <c r="B2368" t="s">
        <v>1321</v>
      </c>
      <c r="C2368" s="5">
        <v>6583335</v>
      </c>
      <c r="D2368" s="2" t="s">
        <v>1343</v>
      </c>
      <c r="E2368" s="2" t="s">
        <v>99</v>
      </c>
      <c r="F2368" s="3">
        <v>160.15</v>
      </c>
      <c r="G2368" t="s">
        <v>83</v>
      </c>
      <c r="H2368" s="1" t="s">
        <v>69</v>
      </c>
      <c r="I2368" t="e">
        <f>-freight FOR EHC pumps TO Trimble</f>
        <v>#NAME?</v>
      </c>
      <c r="J2368" t="s">
        <v>1322</v>
      </c>
      <c r="K2368" t="s">
        <v>1303</v>
      </c>
      <c r="L2368" t="s">
        <v>1323</v>
      </c>
    </row>
    <row r="2369" spans="1:12" ht="15">
      <c r="A2369" s="4">
        <v>201407</v>
      </c>
      <c r="B2369" t="s">
        <v>1321</v>
      </c>
      <c r="C2369" s="5">
        <v>6585477</v>
      </c>
      <c r="D2369" s="2" t="s">
        <v>1349</v>
      </c>
      <c r="E2369" s="2" t="s">
        <v>261</v>
      </c>
      <c r="F2369" s="3">
        <v>-6667.14</v>
      </c>
      <c r="H2369" s="1" t="s">
        <v>330</v>
      </c>
      <c r="I2369" t="s">
        <v>1348</v>
      </c>
      <c r="J2369" t="s">
        <v>1322</v>
      </c>
      <c r="K2369" t="s">
        <v>1303</v>
      </c>
      <c r="L2369" t="s">
        <v>1323</v>
      </c>
    </row>
    <row r="2370" spans="1:12" ht="15">
      <c r="A2370" s="4">
        <v>201408</v>
      </c>
      <c r="B2370" t="s">
        <v>1321</v>
      </c>
      <c r="C2370" s="5">
        <v>6585477</v>
      </c>
      <c r="D2370" s="2" t="s">
        <v>1349</v>
      </c>
      <c r="E2370" s="2" t="s">
        <v>261</v>
      </c>
      <c r="F2370" s="3">
        <v>-29250</v>
      </c>
      <c r="H2370" s="1" t="s">
        <v>330</v>
      </c>
      <c r="I2370" t="s">
        <v>333</v>
      </c>
      <c r="J2370" t="s">
        <v>1322</v>
      </c>
      <c r="K2370" t="s">
        <v>1303</v>
      </c>
      <c r="L2370" t="s">
        <v>1323</v>
      </c>
    </row>
    <row r="2371" spans="1:12" ht="15">
      <c r="A2371" s="4">
        <v>201409</v>
      </c>
      <c r="B2371" t="s">
        <v>1321</v>
      </c>
      <c r="C2371" s="5">
        <v>6585477</v>
      </c>
      <c r="D2371" s="2" t="s">
        <v>1349</v>
      </c>
      <c r="E2371" s="2" t="s">
        <v>261</v>
      </c>
      <c r="F2371" s="3">
        <v>-3054.04</v>
      </c>
      <c r="H2371" s="1" t="s">
        <v>330</v>
      </c>
      <c r="I2371" t="s">
        <v>1350</v>
      </c>
      <c r="J2371" t="s">
        <v>1322</v>
      </c>
      <c r="K2371" t="s">
        <v>1303</v>
      </c>
      <c r="L2371" t="s">
        <v>1323</v>
      </c>
    </row>
    <row r="2372" spans="1:12" ht="15">
      <c r="A2372" s="4">
        <v>201410</v>
      </c>
      <c r="B2372" t="s">
        <v>1321</v>
      </c>
      <c r="C2372" s="5">
        <v>6585477</v>
      </c>
      <c r="D2372" s="2" t="s">
        <v>1349</v>
      </c>
      <c r="E2372" s="2" t="s">
        <v>261</v>
      </c>
      <c r="F2372" s="3">
        <v>-7150</v>
      </c>
      <c r="H2372" s="1" t="s">
        <v>330</v>
      </c>
      <c r="I2372" t="s">
        <v>333</v>
      </c>
      <c r="J2372" t="s">
        <v>1322</v>
      </c>
      <c r="K2372" t="s">
        <v>1303</v>
      </c>
      <c r="L2372" t="s">
        <v>1323</v>
      </c>
    </row>
    <row r="2373" spans="1:12" ht="15">
      <c r="A2373" s="4">
        <v>201406</v>
      </c>
      <c r="B2373" t="s">
        <v>1321</v>
      </c>
      <c r="C2373" s="5">
        <v>6585477</v>
      </c>
      <c r="D2373" s="2" t="s">
        <v>1349</v>
      </c>
      <c r="E2373" s="2" t="s">
        <v>261</v>
      </c>
      <c r="F2373" s="3">
        <v>369.04</v>
      </c>
      <c r="H2373" s="1" t="s">
        <v>14</v>
      </c>
      <c r="I2373" t="s">
        <v>1351</v>
      </c>
      <c r="J2373" t="s">
        <v>1322</v>
      </c>
      <c r="K2373" t="s">
        <v>1303</v>
      </c>
      <c r="L2373" t="s">
        <v>1323</v>
      </c>
    </row>
    <row r="2374" spans="1:12" ht="15">
      <c r="A2374" s="4">
        <v>201407</v>
      </c>
      <c r="B2374" t="s">
        <v>1321</v>
      </c>
      <c r="C2374" s="5">
        <v>6585477</v>
      </c>
      <c r="D2374" s="2" t="s">
        <v>1349</v>
      </c>
      <c r="E2374" s="2" t="s">
        <v>261</v>
      </c>
      <c r="F2374" s="3">
        <v>2.79</v>
      </c>
      <c r="H2374" s="1" t="s">
        <v>14</v>
      </c>
      <c r="I2374" t="s">
        <v>22</v>
      </c>
      <c r="J2374" t="s">
        <v>1322</v>
      </c>
      <c r="K2374" t="s">
        <v>1303</v>
      </c>
      <c r="L2374" t="s">
        <v>1323</v>
      </c>
    </row>
    <row r="2375" spans="1:12" ht="15">
      <c r="A2375" s="4">
        <v>201407</v>
      </c>
      <c r="B2375" t="s">
        <v>1321</v>
      </c>
      <c r="C2375" s="5">
        <v>6585477</v>
      </c>
      <c r="D2375" s="2" t="s">
        <v>1349</v>
      </c>
      <c r="E2375" s="2" t="s">
        <v>261</v>
      </c>
      <c r="F2375" s="3">
        <v>3.15</v>
      </c>
      <c r="H2375" s="1" t="s">
        <v>14</v>
      </c>
      <c r="I2375" t="s">
        <v>23</v>
      </c>
      <c r="J2375" t="s">
        <v>1322</v>
      </c>
      <c r="K2375" t="s">
        <v>1303</v>
      </c>
      <c r="L2375" t="s">
        <v>1323</v>
      </c>
    </row>
    <row r="2376" spans="1:12" ht="15">
      <c r="A2376" s="4">
        <v>201407</v>
      </c>
      <c r="B2376" t="s">
        <v>1321</v>
      </c>
      <c r="C2376" s="5">
        <v>6585477</v>
      </c>
      <c r="D2376" s="2" t="s">
        <v>1349</v>
      </c>
      <c r="E2376" s="2" t="s">
        <v>261</v>
      </c>
      <c r="F2376" s="3">
        <v>4.7</v>
      </c>
      <c r="H2376" s="1" t="s">
        <v>14</v>
      </c>
      <c r="I2376" t="s">
        <v>630</v>
      </c>
      <c r="J2376" t="s">
        <v>1322</v>
      </c>
      <c r="K2376" t="s">
        <v>1303</v>
      </c>
      <c r="L2376" t="s">
        <v>1323</v>
      </c>
    </row>
    <row r="2377" spans="1:12" ht="15">
      <c r="A2377" s="4">
        <v>201407</v>
      </c>
      <c r="B2377" t="s">
        <v>1321</v>
      </c>
      <c r="C2377" s="5">
        <v>6585477</v>
      </c>
      <c r="D2377" s="2" t="s">
        <v>1349</v>
      </c>
      <c r="E2377" s="2" t="s">
        <v>261</v>
      </c>
      <c r="F2377" s="3">
        <v>8.77</v>
      </c>
      <c r="H2377" s="1" t="s">
        <v>14</v>
      </c>
      <c r="I2377" t="s">
        <v>461</v>
      </c>
      <c r="J2377" t="s">
        <v>1322</v>
      </c>
      <c r="K2377" t="s">
        <v>1303</v>
      </c>
      <c r="L2377" t="s">
        <v>1323</v>
      </c>
    </row>
    <row r="2378" spans="1:12" ht="15">
      <c r="A2378" s="4">
        <v>201407</v>
      </c>
      <c r="B2378" t="s">
        <v>1321</v>
      </c>
      <c r="C2378" s="5">
        <v>6585477</v>
      </c>
      <c r="D2378" s="2" t="s">
        <v>1349</v>
      </c>
      <c r="E2378" s="2" t="s">
        <v>261</v>
      </c>
      <c r="F2378" s="3">
        <v>9.8</v>
      </c>
      <c r="H2378" s="1" t="s">
        <v>14</v>
      </c>
      <c r="I2378" t="s">
        <v>495</v>
      </c>
      <c r="J2378" t="s">
        <v>1322</v>
      </c>
      <c r="K2378" t="s">
        <v>1303</v>
      </c>
      <c r="L2378" t="s">
        <v>1323</v>
      </c>
    </row>
    <row r="2379" spans="1:12" ht="15">
      <c r="A2379" s="4">
        <v>201407</v>
      </c>
      <c r="B2379" t="s">
        <v>1321</v>
      </c>
      <c r="C2379" s="5">
        <v>6585477</v>
      </c>
      <c r="D2379" s="2" t="s">
        <v>1349</v>
      </c>
      <c r="E2379" s="2" t="s">
        <v>261</v>
      </c>
      <c r="F2379" s="3">
        <v>19.25</v>
      </c>
      <c r="H2379" s="1" t="s">
        <v>14</v>
      </c>
      <c r="I2379" t="s">
        <v>1352</v>
      </c>
      <c r="J2379" t="s">
        <v>1322</v>
      </c>
      <c r="K2379" t="s">
        <v>1303</v>
      </c>
      <c r="L2379" t="s">
        <v>1323</v>
      </c>
    </row>
    <row r="2380" spans="1:12" ht="15">
      <c r="A2380" s="4">
        <v>201407</v>
      </c>
      <c r="B2380" t="s">
        <v>1321</v>
      </c>
      <c r="C2380" s="5">
        <v>6585477</v>
      </c>
      <c r="D2380" s="2" t="s">
        <v>1349</v>
      </c>
      <c r="E2380" s="2" t="s">
        <v>261</v>
      </c>
      <c r="F2380" s="3">
        <v>20.75</v>
      </c>
      <c r="H2380" s="1" t="s">
        <v>14</v>
      </c>
      <c r="I2380" t="s">
        <v>319</v>
      </c>
      <c r="J2380" t="s">
        <v>1322</v>
      </c>
      <c r="K2380" t="s">
        <v>1303</v>
      </c>
      <c r="L2380" t="s">
        <v>1323</v>
      </c>
    </row>
    <row r="2381" spans="1:12" ht="15">
      <c r="A2381" s="4">
        <v>201407</v>
      </c>
      <c r="B2381" t="s">
        <v>1321</v>
      </c>
      <c r="C2381" s="5">
        <v>6585477</v>
      </c>
      <c r="D2381" s="2" t="s">
        <v>1349</v>
      </c>
      <c r="E2381" s="2" t="s">
        <v>261</v>
      </c>
      <c r="F2381" s="3">
        <v>26.52</v>
      </c>
      <c r="H2381" s="1" t="s">
        <v>14</v>
      </c>
      <c r="I2381" t="s">
        <v>606</v>
      </c>
      <c r="J2381" t="s">
        <v>1322</v>
      </c>
      <c r="K2381" t="s">
        <v>1303</v>
      </c>
      <c r="L2381" t="s">
        <v>1323</v>
      </c>
    </row>
    <row r="2382" spans="1:12" ht="15">
      <c r="A2382" s="4">
        <v>201407</v>
      </c>
      <c r="B2382" t="s">
        <v>1321</v>
      </c>
      <c r="C2382" s="5">
        <v>6585477</v>
      </c>
      <c r="D2382" s="2" t="s">
        <v>1349</v>
      </c>
      <c r="E2382" s="2" t="s">
        <v>261</v>
      </c>
      <c r="F2382" s="3">
        <v>28</v>
      </c>
      <c r="H2382" s="1" t="s">
        <v>14</v>
      </c>
      <c r="I2382" t="s">
        <v>90</v>
      </c>
      <c r="J2382" t="s">
        <v>1322</v>
      </c>
      <c r="K2382" t="s">
        <v>1303</v>
      </c>
      <c r="L2382" t="s">
        <v>1323</v>
      </c>
    </row>
    <row r="2383" spans="1:12" ht="15">
      <c r="A2383" s="4">
        <v>201407</v>
      </c>
      <c r="B2383" t="s">
        <v>1321</v>
      </c>
      <c r="C2383" s="5">
        <v>6585477</v>
      </c>
      <c r="D2383" s="2" t="s">
        <v>1349</v>
      </c>
      <c r="E2383" s="2" t="s">
        <v>261</v>
      </c>
      <c r="F2383" s="3">
        <v>44</v>
      </c>
      <c r="H2383" s="1" t="s">
        <v>14</v>
      </c>
      <c r="I2383" t="s">
        <v>390</v>
      </c>
      <c r="J2383" t="s">
        <v>1322</v>
      </c>
      <c r="K2383" t="s">
        <v>1303</v>
      </c>
      <c r="L2383" t="s">
        <v>1323</v>
      </c>
    </row>
    <row r="2384" spans="1:12" ht="15">
      <c r="A2384" s="4">
        <v>201407</v>
      </c>
      <c r="B2384" t="s">
        <v>1321</v>
      </c>
      <c r="C2384" s="5">
        <v>6585477</v>
      </c>
      <c r="D2384" s="2" t="s">
        <v>1349</v>
      </c>
      <c r="E2384" s="2" t="s">
        <v>261</v>
      </c>
      <c r="F2384" s="3">
        <v>64.35</v>
      </c>
      <c r="H2384" s="1" t="s">
        <v>14</v>
      </c>
      <c r="I2384" t="s">
        <v>313</v>
      </c>
      <c r="J2384" t="s">
        <v>1322</v>
      </c>
      <c r="K2384" t="s">
        <v>1303</v>
      </c>
      <c r="L2384" t="s">
        <v>1323</v>
      </c>
    </row>
    <row r="2385" spans="1:12" ht="15">
      <c r="A2385" s="4">
        <v>201407</v>
      </c>
      <c r="B2385" t="s">
        <v>1321</v>
      </c>
      <c r="C2385" s="5">
        <v>6585477</v>
      </c>
      <c r="D2385" s="2" t="s">
        <v>1349</v>
      </c>
      <c r="E2385" s="2" t="s">
        <v>261</v>
      </c>
      <c r="F2385" s="3">
        <v>75.17</v>
      </c>
      <c r="H2385" s="1" t="s">
        <v>14</v>
      </c>
      <c r="I2385" t="s">
        <v>1341</v>
      </c>
      <c r="J2385" t="s">
        <v>1322</v>
      </c>
      <c r="K2385" t="s">
        <v>1303</v>
      </c>
      <c r="L2385" t="s">
        <v>1323</v>
      </c>
    </row>
    <row r="2386" spans="1:12" ht="15">
      <c r="A2386" s="4">
        <v>201407</v>
      </c>
      <c r="B2386" t="s">
        <v>1321</v>
      </c>
      <c r="C2386" s="5">
        <v>6585477</v>
      </c>
      <c r="D2386" s="2" t="s">
        <v>1349</v>
      </c>
      <c r="E2386" s="2" t="s">
        <v>261</v>
      </c>
      <c r="F2386" s="3">
        <v>91.82</v>
      </c>
      <c r="H2386" s="1" t="s">
        <v>14</v>
      </c>
      <c r="I2386" t="s">
        <v>1353</v>
      </c>
      <c r="J2386" t="s">
        <v>1322</v>
      </c>
      <c r="K2386" t="s">
        <v>1303</v>
      </c>
      <c r="L2386" t="s">
        <v>1323</v>
      </c>
    </row>
    <row r="2387" spans="1:12" ht="15">
      <c r="A2387" s="4">
        <v>201407</v>
      </c>
      <c r="B2387" t="s">
        <v>1321</v>
      </c>
      <c r="C2387" s="5">
        <v>6585477</v>
      </c>
      <c r="D2387" s="2" t="s">
        <v>1349</v>
      </c>
      <c r="E2387" s="2" t="s">
        <v>261</v>
      </c>
      <c r="F2387" s="3">
        <v>98</v>
      </c>
      <c r="H2387" s="1" t="s">
        <v>14</v>
      </c>
      <c r="I2387" t="s">
        <v>1354</v>
      </c>
      <c r="J2387" t="s">
        <v>1322</v>
      </c>
      <c r="K2387" t="s">
        <v>1303</v>
      </c>
      <c r="L2387" t="s">
        <v>1323</v>
      </c>
    </row>
    <row r="2388" spans="1:12" ht="15">
      <c r="A2388" s="4">
        <v>201407</v>
      </c>
      <c r="B2388" t="s">
        <v>1321</v>
      </c>
      <c r="C2388" s="5">
        <v>6585477</v>
      </c>
      <c r="D2388" s="2" t="s">
        <v>1349</v>
      </c>
      <c r="E2388" s="2" t="s">
        <v>261</v>
      </c>
      <c r="F2388" s="3">
        <v>106.33</v>
      </c>
      <c r="H2388" s="1" t="s">
        <v>14</v>
      </c>
      <c r="I2388" t="s">
        <v>89</v>
      </c>
      <c r="J2388" t="s">
        <v>1322</v>
      </c>
      <c r="K2388" t="s">
        <v>1303</v>
      </c>
      <c r="L2388" t="s">
        <v>1323</v>
      </c>
    </row>
    <row r="2389" spans="1:12" ht="15">
      <c r="A2389" s="4">
        <v>201407</v>
      </c>
      <c r="B2389" t="s">
        <v>1321</v>
      </c>
      <c r="C2389" s="5">
        <v>6585477</v>
      </c>
      <c r="D2389" s="2" t="s">
        <v>1349</v>
      </c>
      <c r="E2389" s="2" t="s">
        <v>261</v>
      </c>
      <c r="F2389" s="3">
        <v>112.31</v>
      </c>
      <c r="H2389" s="1" t="s">
        <v>14</v>
      </c>
      <c r="I2389" t="s">
        <v>1355</v>
      </c>
      <c r="J2389" t="s">
        <v>1322</v>
      </c>
      <c r="K2389" t="s">
        <v>1303</v>
      </c>
      <c r="L2389" t="s">
        <v>1323</v>
      </c>
    </row>
    <row r="2390" spans="1:12" ht="15">
      <c r="A2390" s="4">
        <v>201407</v>
      </c>
      <c r="B2390" t="s">
        <v>1321</v>
      </c>
      <c r="C2390" s="5">
        <v>6585477</v>
      </c>
      <c r="D2390" s="2" t="s">
        <v>1349</v>
      </c>
      <c r="E2390" s="2" t="s">
        <v>261</v>
      </c>
      <c r="F2390" s="3">
        <v>125.21</v>
      </c>
      <c r="H2390" s="1" t="s">
        <v>14</v>
      </c>
      <c r="I2390" t="s">
        <v>1356</v>
      </c>
      <c r="J2390" t="s">
        <v>1322</v>
      </c>
      <c r="K2390" t="s">
        <v>1303</v>
      </c>
      <c r="L2390" t="s">
        <v>1323</v>
      </c>
    </row>
    <row r="2391" spans="1:12" ht="15">
      <c r="A2391" s="4">
        <v>201407</v>
      </c>
      <c r="B2391" t="s">
        <v>1321</v>
      </c>
      <c r="C2391" s="5">
        <v>6585477</v>
      </c>
      <c r="D2391" s="2" t="s">
        <v>1349</v>
      </c>
      <c r="E2391" s="2" t="s">
        <v>261</v>
      </c>
      <c r="F2391" s="3">
        <v>147.62</v>
      </c>
      <c r="H2391" s="1" t="s">
        <v>14</v>
      </c>
      <c r="I2391" t="s">
        <v>1357</v>
      </c>
      <c r="J2391" t="s">
        <v>1322</v>
      </c>
      <c r="K2391" t="s">
        <v>1303</v>
      </c>
      <c r="L2391" t="s">
        <v>1323</v>
      </c>
    </row>
    <row r="2392" spans="1:12" ht="15">
      <c r="A2392" s="4">
        <v>201407</v>
      </c>
      <c r="B2392" t="s">
        <v>1321</v>
      </c>
      <c r="C2392" s="5">
        <v>6585477</v>
      </c>
      <c r="D2392" s="2" t="s">
        <v>1349</v>
      </c>
      <c r="E2392" s="2" t="s">
        <v>261</v>
      </c>
      <c r="F2392" s="3">
        <v>254.98</v>
      </c>
      <c r="H2392" s="1" t="s">
        <v>14</v>
      </c>
      <c r="I2392" t="s">
        <v>1358</v>
      </c>
      <c r="J2392" t="s">
        <v>1322</v>
      </c>
      <c r="K2392" t="s">
        <v>1303</v>
      </c>
      <c r="L2392" t="s">
        <v>1323</v>
      </c>
    </row>
    <row r="2393" spans="1:12" ht="15">
      <c r="A2393" s="4">
        <v>201407</v>
      </c>
      <c r="B2393" t="s">
        <v>1321</v>
      </c>
      <c r="C2393" s="5">
        <v>6585477</v>
      </c>
      <c r="D2393" s="2" t="s">
        <v>1349</v>
      </c>
      <c r="E2393" s="2" t="s">
        <v>261</v>
      </c>
      <c r="F2393" s="3">
        <v>410</v>
      </c>
      <c r="H2393" s="1" t="s">
        <v>14</v>
      </c>
      <c r="I2393" t="s">
        <v>1359</v>
      </c>
      <c r="J2393" t="s">
        <v>1322</v>
      </c>
      <c r="K2393" t="s">
        <v>1303</v>
      </c>
      <c r="L2393" t="s">
        <v>1323</v>
      </c>
    </row>
    <row r="2394" spans="1:12" ht="15">
      <c r="A2394" s="4">
        <v>201407</v>
      </c>
      <c r="B2394" t="s">
        <v>1321</v>
      </c>
      <c r="C2394" s="5">
        <v>6585477</v>
      </c>
      <c r="D2394" s="2" t="s">
        <v>1349</v>
      </c>
      <c r="E2394" s="2" t="s">
        <v>261</v>
      </c>
      <c r="F2394" s="3">
        <v>595</v>
      </c>
      <c r="H2394" s="1" t="s">
        <v>14</v>
      </c>
      <c r="I2394" t="s">
        <v>1360</v>
      </c>
      <c r="J2394" t="s">
        <v>1322</v>
      </c>
      <c r="K2394" t="s">
        <v>1303</v>
      </c>
      <c r="L2394" t="s">
        <v>1323</v>
      </c>
    </row>
    <row r="2395" spans="1:12" ht="15">
      <c r="A2395" s="4">
        <v>201407</v>
      </c>
      <c r="B2395" t="s">
        <v>1321</v>
      </c>
      <c r="C2395" s="5">
        <v>6585477</v>
      </c>
      <c r="D2395" s="2" t="s">
        <v>1349</v>
      </c>
      <c r="E2395" s="2" t="s">
        <v>261</v>
      </c>
      <c r="F2395" s="3">
        <v>644.33</v>
      </c>
      <c r="H2395" s="1" t="s">
        <v>14</v>
      </c>
      <c r="I2395" t="s">
        <v>1361</v>
      </c>
      <c r="J2395" t="s">
        <v>1322</v>
      </c>
      <c r="K2395" t="s">
        <v>1303</v>
      </c>
      <c r="L2395" t="s">
        <v>1323</v>
      </c>
    </row>
    <row r="2396" spans="1:12" ht="15">
      <c r="A2396" s="4">
        <v>201407</v>
      </c>
      <c r="B2396" t="s">
        <v>1321</v>
      </c>
      <c r="C2396" s="5">
        <v>6585477</v>
      </c>
      <c r="D2396" s="2" t="s">
        <v>1349</v>
      </c>
      <c r="E2396" s="2" t="s">
        <v>261</v>
      </c>
      <c r="F2396" s="3">
        <v>738.09</v>
      </c>
      <c r="H2396" s="1" t="s">
        <v>14</v>
      </c>
      <c r="I2396" t="s">
        <v>1351</v>
      </c>
      <c r="J2396" t="s">
        <v>1322</v>
      </c>
      <c r="K2396" t="s">
        <v>1303</v>
      </c>
      <c r="L2396" t="s">
        <v>1323</v>
      </c>
    </row>
    <row r="2397" spans="1:12" ht="15">
      <c r="A2397" s="4">
        <v>201407</v>
      </c>
      <c r="B2397" t="s">
        <v>1321</v>
      </c>
      <c r="C2397" s="5">
        <v>6585477</v>
      </c>
      <c r="D2397" s="2" t="s">
        <v>1349</v>
      </c>
      <c r="E2397" s="2" t="s">
        <v>261</v>
      </c>
      <c r="F2397" s="3">
        <v>1075</v>
      </c>
      <c r="H2397" s="1" t="s">
        <v>14</v>
      </c>
      <c r="I2397" t="s">
        <v>1362</v>
      </c>
      <c r="J2397" t="s">
        <v>1322</v>
      </c>
      <c r="K2397" t="s">
        <v>1303</v>
      </c>
      <c r="L2397" t="s">
        <v>1323</v>
      </c>
    </row>
    <row r="2398" spans="1:12" ht="15">
      <c r="A2398" s="4">
        <v>201407</v>
      </c>
      <c r="B2398" t="s">
        <v>1321</v>
      </c>
      <c r="C2398" s="5">
        <v>6585477</v>
      </c>
      <c r="D2398" s="2" t="s">
        <v>1349</v>
      </c>
      <c r="E2398" s="2" t="s">
        <v>261</v>
      </c>
      <c r="F2398" s="3">
        <v>1373.08</v>
      </c>
      <c r="H2398" s="1" t="s">
        <v>14</v>
      </c>
      <c r="I2398" t="s">
        <v>1063</v>
      </c>
      <c r="J2398" t="s">
        <v>1322</v>
      </c>
      <c r="K2398" t="s">
        <v>1303</v>
      </c>
      <c r="L2398" t="s">
        <v>1323</v>
      </c>
    </row>
    <row r="2399" spans="1:12" ht="15">
      <c r="A2399" s="4">
        <v>201407</v>
      </c>
      <c r="B2399" t="s">
        <v>1321</v>
      </c>
      <c r="C2399" s="5">
        <v>6585477</v>
      </c>
      <c r="D2399" s="2" t="s">
        <v>1349</v>
      </c>
      <c r="E2399" s="2" t="s">
        <v>261</v>
      </c>
      <c r="F2399" s="3">
        <v>1454.6</v>
      </c>
      <c r="H2399" s="1" t="s">
        <v>14</v>
      </c>
      <c r="I2399" t="s">
        <v>1330</v>
      </c>
      <c r="J2399" t="s">
        <v>1322</v>
      </c>
      <c r="K2399" t="s">
        <v>1303</v>
      </c>
      <c r="L2399" t="s">
        <v>1323</v>
      </c>
    </row>
    <row r="2400" spans="1:12" ht="15">
      <c r="A2400" s="4">
        <v>201407</v>
      </c>
      <c r="B2400" t="s">
        <v>1321</v>
      </c>
      <c r="C2400" s="5">
        <v>6585477</v>
      </c>
      <c r="D2400" s="2" t="s">
        <v>1349</v>
      </c>
      <c r="E2400" s="2" t="s">
        <v>261</v>
      </c>
      <c r="F2400" s="3">
        <v>1880.56</v>
      </c>
      <c r="H2400" s="1" t="s">
        <v>14</v>
      </c>
      <c r="I2400" t="s">
        <v>1348</v>
      </c>
      <c r="J2400" t="s">
        <v>1322</v>
      </c>
      <c r="K2400" t="s">
        <v>1303</v>
      </c>
      <c r="L2400" t="s">
        <v>1323</v>
      </c>
    </row>
    <row r="2401" spans="1:12" ht="15">
      <c r="A2401" s="4">
        <v>201407</v>
      </c>
      <c r="B2401" t="s">
        <v>1321</v>
      </c>
      <c r="C2401" s="5">
        <v>6585477</v>
      </c>
      <c r="D2401" s="2" t="s">
        <v>1349</v>
      </c>
      <c r="E2401" s="2" t="s">
        <v>261</v>
      </c>
      <c r="F2401" s="3">
        <v>2575</v>
      </c>
      <c r="H2401" s="1" t="s">
        <v>14</v>
      </c>
      <c r="I2401" t="s">
        <v>1331</v>
      </c>
      <c r="J2401" t="s">
        <v>1322</v>
      </c>
      <c r="K2401" t="s">
        <v>1303</v>
      </c>
      <c r="L2401" t="s">
        <v>1323</v>
      </c>
    </row>
    <row r="2402" spans="1:12" ht="15">
      <c r="A2402" s="4">
        <v>201407</v>
      </c>
      <c r="B2402" t="s">
        <v>1321</v>
      </c>
      <c r="C2402" s="5">
        <v>6585477</v>
      </c>
      <c r="D2402" s="2" t="s">
        <v>1349</v>
      </c>
      <c r="E2402" s="2" t="s">
        <v>261</v>
      </c>
      <c r="F2402" s="3">
        <v>7574.93</v>
      </c>
      <c r="H2402" s="1" t="s">
        <v>14</v>
      </c>
      <c r="I2402" t="s">
        <v>973</v>
      </c>
      <c r="J2402" t="s">
        <v>1322</v>
      </c>
      <c r="K2402" t="s">
        <v>1303</v>
      </c>
      <c r="L2402" t="s">
        <v>1323</v>
      </c>
    </row>
    <row r="2403" spans="1:12" ht="15">
      <c r="A2403" s="4">
        <v>201407</v>
      </c>
      <c r="B2403" t="s">
        <v>1321</v>
      </c>
      <c r="C2403" s="5">
        <v>6585477</v>
      </c>
      <c r="D2403" s="2" t="s">
        <v>1349</v>
      </c>
      <c r="E2403" s="2" t="s">
        <v>261</v>
      </c>
      <c r="F2403" s="3">
        <v>23400</v>
      </c>
      <c r="H2403" s="1" t="s">
        <v>14</v>
      </c>
      <c r="I2403" t="s">
        <v>333</v>
      </c>
      <c r="J2403" t="s">
        <v>1322</v>
      </c>
      <c r="K2403" t="s">
        <v>1303</v>
      </c>
      <c r="L2403" t="s">
        <v>1323</v>
      </c>
    </row>
    <row r="2404" spans="1:12" ht="15">
      <c r="A2404" s="4">
        <v>201407</v>
      </c>
      <c r="B2404" t="s">
        <v>1321</v>
      </c>
      <c r="C2404" s="5">
        <v>6585477</v>
      </c>
      <c r="D2404" s="2" t="s">
        <v>1349</v>
      </c>
      <c r="E2404" s="2" t="s">
        <v>261</v>
      </c>
      <c r="F2404" s="3">
        <v>-12760</v>
      </c>
      <c r="H2404" s="1" t="s">
        <v>43</v>
      </c>
      <c r="I2404" t="s">
        <v>1363</v>
      </c>
      <c r="J2404" t="s">
        <v>1322</v>
      </c>
      <c r="K2404" t="s">
        <v>1303</v>
      </c>
      <c r="L2404" t="s">
        <v>1323</v>
      </c>
    </row>
    <row r="2405" spans="1:12" ht="15">
      <c r="A2405" s="4">
        <v>201407</v>
      </c>
      <c r="B2405" t="s">
        <v>1321</v>
      </c>
      <c r="C2405" s="5">
        <v>6585477</v>
      </c>
      <c r="D2405" s="2" t="s">
        <v>1349</v>
      </c>
      <c r="E2405" s="2" t="s">
        <v>261</v>
      </c>
      <c r="F2405" s="3">
        <v>-1373.08</v>
      </c>
      <c r="H2405" s="1" t="s">
        <v>43</v>
      </c>
      <c r="I2405" t="s">
        <v>1063</v>
      </c>
      <c r="J2405" t="s">
        <v>1322</v>
      </c>
      <c r="K2405" t="s">
        <v>1303</v>
      </c>
      <c r="L2405" t="s">
        <v>1323</v>
      </c>
    </row>
    <row r="2406" spans="1:12" ht="15">
      <c r="A2406" s="4">
        <v>201407</v>
      </c>
      <c r="B2406" t="s">
        <v>1321</v>
      </c>
      <c r="C2406" s="5">
        <v>6585477</v>
      </c>
      <c r="D2406" s="2" t="s">
        <v>1349</v>
      </c>
      <c r="E2406" s="2" t="s">
        <v>261</v>
      </c>
      <c r="F2406" s="3">
        <v>-205</v>
      </c>
      <c r="H2406" s="1" t="s">
        <v>43</v>
      </c>
      <c r="I2406" t="s">
        <v>1359</v>
      </c>
      <c r="J2406" t="s">
        <v>1322</v>
      </c>
      <c r="K2406" t="s">
        <v>1303</v>
      </c>
      <c r="L2406" t="s">
        <v>1323</v>
      </c>
    </row>
    <row r="2407" spans="1:13" ht="15">
      <c r="A2407" s="4">
        <v>201407</v>
      </c>
      <c r="B2407" t="s">
        <v>1321</v>
      </c>
      <c r="C2407" s="5">
        <v>6585477</v>
      </c>
      <c r="D2407" s="2" t="s">
        <v>1349</v>
      </c>
      <c r="E2407" s="2" t="s">
        <v>261</v>
      </c>
      <c r="F2407" s="3">
        <v>1085.46</v>
      </c>
      <c r="G2407" t="s">
        <v>111</v>
      </c>
      <c r="H2407" s="1" t="s">
        <v>44</v>
      </c>
      <c r="I2407" t="e">
        <f>-labor-Service and REPAIR of R978032051 PILOT VALVE</f>
        <v>#NAME?</v>
      </c>
      <c r="J2407" t="s">
        <v>1322</v>
      </c>
      <c r="K2407" t="s">
        <v>1303</v>
      </c>
      <c r="L2407" t="s">
        <v>1323</v>
      </c>
      <c r="M2407">
        <v>908700</v>
      </c>
    </row>
    <row r="2408" spans="1:13" ht="15">
      <c r="A2408" s="4">
        <v>201408</v>
      </c>
      <c r="B2408" t="s">
        <v>1321</v>
      </c>
      <c r="C2408" s="5">
        <v>6585477</v>
      </c>
      <c r="D2408" s="2" t="s">
        <v>1349</v>
      </c>
      <c r="E2408" s="2" t="s">
        <v>261</v>
      </c>
      <c r="F2408" s="3">
        <v>6950</v>
      </c>
      <c r="G2408" t="s">
        <v>1364</v>
      </c>
      <c r="H2408" s="1" t="s">
        <v>44</v>
      </c>
      <c r="I2408" t="e">
        <f>-TECH labor/EXPENSES TO TROUBLESHOOT Emergency TRIP system on TC2.</f>
        <v>#NAME?</v>
      </c>
      <c r="J2408" t="s">
        <v>1322</v>
      </c>
      <c r="K2408" t="s">
        <v>1303</v>
      </c>
      <c r="L2408" t="s">
        <v>1323</v>
      </c>
      <c r="M2408">
        <v>911099</v>
      </c>
    </row>
    <row r="2409" spans="1:13" ht="15">
      <c r="A2409" s="4">
        <v>201408</v>
      </c>
      <c r="B2409" t="s">
        <v>1321</v>
      </c>
      <c r="C2409" s="5">
        <v>6585477</v>
      </c>
      <c r="D2409" s="2" t="s">
        <v>1349</v>
      </c>
      <c r="E2409" s="2" t="s">
        <v>261</v>
      </c>
      <c r="F2409" s="3">
        <v>19439.29</v>
      </c>
      <c r="G2409" t="s">
        <v>111</v>
      </c>
      <c r="H2409" s="1" t="s">
        <v>44</v>
      </c>
      <c r="I2409" t="e">
        <f>-labor FOR Hydrotech technician</f>
        <v>#NAME?</v>
      </c>
      <c r="J2409" t="s">
        <v>1322</v>
      </c>
      <c r="K2409" t="s">
        <v>1303</v>
      </c>
      <c r="L2409" t="s">
        <v>1323</v>
      </c>
      <c r="M2409">
        <v>910186</v>
      </c>
    </row>
    <row r="2410" spans="1:13" ht="15">
      <c r="A2410" s="4">
        <v>201408</v>
      </c>
      <c r="B2410" t="s">
        <v>1321</v>
      </c>
      <c r="C2410" s="5">
        <v>6585477</v>
      </c>
      <c r="D2410" s="2" t="s">
        <v>1349</v>
      </c>
      <c r="E2410" s="2" t="s">
        <v>261</v>
      </c>
      <c r="F2410" s="3">
        <v>23668.33</v>
      </c>
      <c r="G2410" t="s">
        <v>111</v>
      </c>
      <c r="H2410" s="1" t="s">
        <v>44</v>
      </c>
      <c r="I2410" t="s">
        <v>1365</v>
      </c>
      <c r="J2410" t="s">
        <v>1322</v>
      </c>
      <c r="K2410" t="s">
        <v>1303</v>
      </c>
      <c r="L2410" t="s">
        <v>1323</v>
      </c>
      <c r="M2410">
        <v>908796</v>
      </c>
    </row>
    <row r="2411" spans="1:13" ht="15">
      <c r="A2411" s="4">
        <v>201408</v>
      </c>
      <c r="B2411" t="s">
        <v>1321</v>
      </c>
      <c r="C2411" s="5">
        <v>6585477</v>
      </c>
      <c r="D2411" s="2" t="s">
        <v>1349</v>
      </c>
      <c r="E2411" s="2" t="s">
        <v>261</v>
      </c>
      <c r="F2411" s="3">
        <v>41126.23</v>
      </c>
      <c r="G2411" t="s">
        <v>1366</v>
      </c>
      <c r="H2411" s="1" t="s">
        <v>44</v>
      </c>
      <c r="I2411" t="e">
        <f>-TD REPS FOR TC2 EH FLUSH and STARTUP (MARCUS MCSPADDEN and MIKE KURN)</f>
        <v>#NAME?</v>
      </c>
      <c r="J2411" t="s">
        <v>1322</v>
      </c>
      <c r="K2411" t="s">
        <v>1303</v>
      </c>
      <c r="L2411" t="s">
        <v>1323</v>
      </c>
      <c r="M2411">
        <v>908483</v>
      </c>
    </row>
    <row r="2412" spans="1:13" ht="15">
      <c r="A2412" s="4">
        <v>201408</v>
      </c>
      <c r="B2412" t="s">
        <v>1321</v>
      </c>
      <c r="C2412" s="5">
        <v>6585477</v>
      </c>
      <c r="D2412" s="2" t="s">
        <v>1349</v>
      </c>
      <c r="E2412" s="2" t="s">
        <v>261</v>
      </c>
      <c r="F2412" s="3">
        <v>59500</v>
      </c>
      <c r="G2412" t="s">
        <v>1364</v>
      </c>
      <c r="H2412" s="1" t="s">
        <v>44</v>
      </c>
      <c r="I2412" t="s">
        <v>1367</v>
      </c>
      <c r="J2412" t="s">
        <v>1322</v>
      </c>
      <c r="K2412" t="s">
        <v>1303</v>
      </c>
      <c r="L2412" t="s">
        <v>1323</v>
      </c>
      <c r="M2412">
        <v>908190</v>
      </c>
    </row>
    <row r="2413" spans="1:12" ht="15">
      <c r="A2413" s="4">
        <v>201410</v>
      </c>
      <c r="B2413" t="s">
        <v>1321</v>
      </c>
      <c r="C2413" s="5">
        <v>6585477</v>
      </c>
      <c r="D2413" s="2" t="s">
        <v>1349</v>
      </c>
      <c r="E2413" s="2" t="s">
        <v>261</v>
      </c>
      <c r="F2413" s="3">
        <v>7745.16</v>
      </c>
      <c r="H2413" s="1" t="s">
        <v>78</v>
      </c>
      <c r="I2413" t="s">
        <v>1368</v>
      </c>
      <c r="J2413" t="s">
        <v>1322</v>
      </c>
      <c r="K2413" t="s">
        <v>1303</v>
      </c>
      <c r="L2413" t="s">
        <v>1323</v>
      </c>
    </row>
    <row r="2414" spans="1:12" ht="15">
      <c r="A2414" s="4">
        <v>201411</v>
      </c>
      <c r="B2414" t="s">
        <v>1321</v>
      </c>
      <c r="C2414" s="5">
        <v>6585477</v>
      </c>
      <c r="D2414" s="2" t="s">
        <v>1349</v>
      </c>
      <c r="E2414" s="2" t="s">
        <v>261</v>
      </c>
      <c r="F2414" s="3">
        <v>-7745.16</v>
      </c>
      <c r="H2414" s="1" t="s">
        <v>78</v>
      </c>
      <c r="I2414" t="s">
        <v>1368</v>
      </c>
      <c r="J2414" t="s">
        <v>1322</v>
      </c>
      <c r="K2414" t="s">
        <v>1303</v>
      </c>
      <c r="L2414" t="s">
        <v>1323</v>
      </c>
    </row>
    <row r="2415" spans="1:14" ht="15">
      <c r="A2415" s="4">
        <v>201411</v>
      </c>
      <c r="B2415" t="s">
        <v>1321</v>
      </c>
      <c r="C2415" s="5">
        <v>6585477</v>
      </c>
      <c r="D2415" s="2" t="s">
        <v>1349</v>
      </c>
      <c r="E2415" s="2" t="s">
        <v>261</v>
      </c>
      <c r="F2415" s="3">
        <v>464.71</v>
      </c>
      <c r="G2415" t="s">
        <v>57</v>
      </c>
      <c r="H2415" s="1" t="s">
        <v>78</v>
      </c>
      <c r="I2415">
        <f>-35085/625876001/1</f>
        <v>-5.605742981667706E-05</v>
      </c>
      <c r="J2415" t="s">
        <v>1322</v>
      </c>
      <c r="K2415" t="s">
        <v>1303</v>
      </c>
      <c r="L2415" t="s">
        <v>1323</v>
      </c>
      <c r="N2415" t="s">
        <v>58</v>
      </c>
    </row>
    <row r="2416" spans="1:13" ht="15">
      <c r="A2416" s="4">
        <v>201411</v>
      </c>
      <c r="B2416" t="s">
        <v>1321</v>
      </c>
      <c r="C2416" s="5">
        <v>6585477</v>
      </c>
      <c r="D2416" s="2" t="s">
        <v>1349</v>
      </c>
      <c r="E2416" s="2" t="s">
        <v>261</v>
      </c>
      <c r="F2416" s="3">
        <v>7745.16</v>
      </c>
      <c r="G2416" t="s">
        <v>111</v>
      </c>
      <c r="H2416" s="1" t="s">
        <v>78</v>
      </c>
      <c r="I2416" t="s">
        <v>1369</v>
      </c>
      <c r="J2416" t="s">
        <v>1322</v>
      </c>
      <c r="K2416" t="s">
        <v>1303</v>
      </c>
      <c r="L2416" t="s">
        <v>1323</v>
      </c>
      <c r="M2416">
        <v>909888</v>
      </c>
    </row>
    <row r="2417" spans="1:13" ht="15">
      <c r="A2417" s="4">
        <v>201408</v>
      </c>
      <c r="B2417" t="s">
        <v>1321</v>
      </c>
      <c r="C2417" s="5">
        <v>6585477</v>
      </c>
      <c r="D2417" s="2" t="s">
        <v>1349</v>
      </c>
      <c r="E2417" s="2" t="s">
        <v>261</v>
      </c>
      <c r="F2417" s="3">
        <v>816.78</v>
      </c>
      <c r="G2417" t="s">
        <v>49</v>
      </c>
      <c r="H2417" s="1" t="s">
        <v>46</v>
      </c>
      <c r="I2417" t="s">
        <v>1088</v>
      </c>
      <c r="J2417" t="s">
        <v>1322</v>
      </c>
      <c r="K2417" t="s">
        <v>1303</v>
      </c>
      <c r="L2417" t="s">
        <v>1323</v>
      </c>
      <c r="M2417">
        <v>910626</v>
      </c>
    </row>
    <row r="2418" spans="1:13" ht="15">
      <c r="A2418" s="4">
        <v>201408</v>
      </c>
      <c r="B2418" t="s">
        <v>1321</v>
      </c>
      <c r="C2418" s="5">
        <v>6585477</v>
      </c>
      <c r="D2418" s="2" t="s">
        <v>1349</v>
      </c>
      <c r="E2418" s="2" t="s">
        <v>261</v>
      </c>
      <c r="F2418" s="3">
        <v>1320.75</v>
      </c>
      <c r="G2418" t="s">
        <v>49</v>
      </c>
      <c r="H2418" s="1" t="s">
        <v>46</v>
      </c>
      <c r="I2418" t="s">
        <v>1370</v>
      </c>
      <c r="J2418" t="s">
        <v>1322</v>
      </c>
      <c r="K2418" t="s">
        <v>1303</v>
      </c>
      <c r="L2418" t="s">
        <v>1323</v>
      </c>
      <c r="M2418">
        <v>909656</v>
      </c>
    </row>
    <row r="2419" spans="1:13" ht="15">
      <c r="A2419" s="4">
        <v>201409</v>
      </c>
      <c r="B2419" t="s">
        <v>1321</v>
      </c>
      <c r="C2419" s="5">
        <v>6585477</v>
      </c>
      <c r="D2419" s="2" t="s">
        <v>1349</v>
      </c>
      <c r="E2419" s="2" t="s">
        <v>261</v>
      </c>
      <c r="F2419" s="3">
        <v>57.72</v>
      </c>
      <c r="G2419" t="s">
        <v>55</v>
      </c>
      <c r="H2419" s="1" t="s">
        <v>46</v>
      </c>
      <c r="I2419" t="s">
        <v>1371</v>
      </c>
      <c r="J2419" t="s">
        <v>1322</v>
      </c>
      <c r="K2419" t="s">
        <v>1303</v>
      </c>
      <c r="L2419" t="s">
        <v>1323</v>
      </c>
      <c r="M2419">
        <v>912082</v>
      </c>
    </row>
    <row r="2420" spans="1:13" ht="15">
      <c r="A2420" s="4">
        <v>201409</v>
      </c>
      <c r="B2420" t="s">
        <v>1321</v>
      </c>
      <c r="C2420" s="5">
        <v>6585477</v>
      </c>
      <c r="D2420" s="2" t="s">
        <v>1349</v>
      </c>
      <c r="E2420" s="2" t="s">
        <v>261</v>
      </c>
      <c r="F2420" s="3">
        <v>163.54</v>
      </c>
      <c r="G2420" t="s">
        <v>55</v>
      </c>
      <c r="H2420" s="1" t="s">
        <v>46</v>
      </c>
      <c r="I2420" t="s">
        <v>1372</v>
      </c>
      <c r="J2420" t="s">
        <v>1322</v>
      </c>
      <c r="K2420" t="s">
        <v>1303</v>
      </c>
      <c r="L2420" t="s">
        <v>1323</v>
      </c>
      <c r="M2420">
        <v>912082</v>
      </c>
    </row>
    <row r="2421" spans="1:12" ht="15">
      <c r="A2421" s="4">
        <v>201406</v>
      </c>
      <c r="B2421" t="s">
        <v>1321</v>
      </c>
      <c r="C2421" s="5">
        <v>6585477</v>
      </c>
      <c r="D2421" s="2" t="s">
        <v>1349</v>
      </c>
      <c r="E2421" s="2" t="s">
        <v>261</v>
      </c>
      <c r="F2421" s="3">
        <v>48268</v>
      </c>
      <c r="H2421" s="1" t="s">
        <v>60</v>
      </c>
      <c r="I2421" t="s">
        <v>1373</v>
      </c>
      <c r="J2421" t="s">
        <v>1322</v>
      </c>
      <c r="K2421" t="s">
        <v>1303</v>
      </c>
      <c r="L2421" t="s">
        <v>1323</v>
      </c>
    </row>
    <row r="2422" spans="1:12" ht="15">
      <c r="A2422" s="4">
        <v>201407</v>
      </c>
      <c r="B2422" t="s">
        <v>1321</v>
      </c>
      <c r="C2422" s="5">
        <v>6585477</v>
      </c>
      <c r="D2422" s="2" t="s">
        <v>1349</v>
      </c>
      <c r="E2422" s="2" t="s">
        <v>261</v>
      </c>
      <c r="F2422" s="3">
        <v>-48268</v>
      </c>
      <c r="H2422" s="1" t="s">
        <v>60</v>
      </c>
      <c r="I2422" t="s">
        <v>1373</v>
      </c>
      <c r="J2422" t="s">
        <v>1322</v>
      </c>
      <c r="K2422" t="s">
        <v>1303</v>
      </c>
      <c r="L2422" t="s">
        <v>1323</v>
      </c>
    </row>
    <row r="2423" spans="1:14" ht="15">
      <c r="A2423" s="4">
        <v>201407</v>
      </c>
      <c r="B2423" t="s">
        <v>1321</v>
      </c>
      <c r="C2423" s="5">
        <v>6585477</v>
      </c>
      <c r="D2423" s="2" t="s">
        <v>1349</v>
      </c>
      <c r="E2423" s="2" t="s">
        <v>261</v>
      </c>
      <c r="F2423" s="3">
        <v>-398.46</v>
      </c>
      <c r="G2423" t="s">
        <v>57</v>
      </c>
      <c r="H2423" s="1" t="s">
        <v>60</v>
      </c>
      <c r="I2423">
        <f>-35085/624213001/2</f>
        <v>-2.8103387740877893E-05</v>
      </c>
      <c r="J2423" t="s">
        <v>1322</v>
      </c>
      <c r="K2423" t="s">
        <v>1303</v>
      </c>
      <c r="L2423" t="s">
        <v>1323</v>
      </c>
      <c r="N2423" t="s">
        <v>58</v>
      </c>
    </row>
    <row r="2424" spans="1:14" ht="15">
      <c r="A2424" s="4">
        <v>201407</v>
      </c>
      <c r="B2424" t="s">
        <v>1321</v>
      </c>
      <c r="C2424" s="5">
        <v>6585477</v>
      </c>
      <c r="D2424" s="2" t="s">
        <v>1349</v>
      </c>
      <c r="E2424" s="2" t="s">
        <v>261</v>
      </c>
      <c r="F2424" s="3">
        <v>11.98</v>
      </c>
      <c r="G2424" t="s">
        <v>57</v>
      </c>
      <c r="H2424" s="1" t="s">
        <v>60</v>
      </c>
      <c r="I2424">
        <f>-35085/624414001/1</f>
        <v>-5.618868241873391E-05</v>
      </c>
      <c r="J2424" t="s">
        <v>1322</v>
      </c>
      <c r="K2424" t="s">
        <v>1303</v>
      </c>
      <c r="L2424" t="s">
        <v>1323</v>
      </c>
      <c r="N2424" t="s">
        <v>58</v>
      </c>
    </row>
    <row r="2425" spans="1:14" ht="15">
      <c r="A2425" s="4">
        <v>201407</v>
      </c>
      <c r="B2425" t="s">
        <v>1321</v>
      </c>
      <c r="C2425" s="5">
        <v>6585477</v>
      </c>
      <c r="D2425" s="2" t="s">
        <v>1349</v>
      </c>
      <c r="E2425" s="2" t="s">
        <v>261</v>
      </c>
      <c r="F2425" s="3">
        <v>29.67</v>
      </c>
      <c r="G2425" t="s">
        <v>57</v>
      </c>
      <c r="H2425" s="1" t="s">
        <v>60</v>
      </c>
      <c r="I2425">
        <f>-58256/1030034/1</f>
        <v>-0.056557356359110474</v>
      </c>
      <c r="J2425" t="s">
        <v>1322</v>
      </c>
      <c r="K2425" t="s">
        <v>1303</v>
      </c>
      <c r="L2425" t="s">
        <v>1323</v>
      </c>
      <c r="N2425" t="s">
        <v>58</v>
      </c>
    </row>
    <row r="2426" spans="1:13" ht="15">
      <c r="A2426" s="4">
        <v>201407</v>
      </c>
      <c r="B2426" t="s">
        <v>1321</v>
      </c>
      <c r="C2426" s="5">
        <v>6585477</v>
      </c>
      <c r="D2426" s="2" t="s">
        <v>1349</v>
      </c>
      <c r="E2426" s="2" t="s">
        <v>261</v>
      </c>
      <c r="F2426" s="3">
        <v>30.4</v>
      </c>
      <c r="G2426" t="s">
        <v>668</v>
      </c>
      <c r="H2426" s="1" t="s">
        <v>60</v>
      </c>
      <c r="I2426" t="e">
        <f>-CONNECTION,MALE-Parker MALE CONNECTOR</f>
        <v>#NAME?</v>
      </c>
      <c r="J2426" t="s">
        <v>1322</v>
      </c>
      <c r="K2426" t="s">
        <v>1303</v>
      </c>
      <c r="L2426" t="s">
        <v>1323</v>
      </c>
      <c r="M2426">
        <v>908802</v>
      </c>
    </row>
    <row r="2427" spans="1:14" ht="15">
      <c r="A2427" s="4">
        <v>201407</v>
      </c>
      <c r="B2427" t="s">
        <v>1321</v>
      </c>
      <c r="C2427" s="5">
        <v>6585477</v>
      </c>
      <c r="D2427" s="2" t="s">
        <v>1349</v>
      </c>
      <c r="E2427" s="2" t="s">
        <v>261</v>
      </c>
      <c r="F2427" s="3">
        <v>46.88</v>
      </c>
      <c r="G2427" t="s">
        <v>57</v>
      </c>
      <c r="H2427" s="1" t="s">
        <v>60</v>
      </c>
      <c r="I2427">
        <f>-22300/9507110/1</f>
        <v>-0.002345612914965747</v>
      </c>
      <c r="J2427" t="s">
        <v>1322</v>
      </c>
      <c r="K2427" t="s">
        <v>1303</v>
      </c>
      <c r="L2427" t="s">
        <v>1323</v>
      </c>
      <c r="N2427" t="s">
        <v>58</v>
      </c>
    </row>
    <row r="2428" spans="1:13" ht="15">
      <c r="A2428" s="4">
        <v>201407</v>
      </c>
      <c r="B2428" t="s">
        <v>1321</v>
      </c>
      <c r="C2428" s="5">
        <v>6585477</v>
      </c>
      <c r="D2428" s="2" t="s">
        <v>1349</v>
      </c>
      <c r="E2428" s="2" t="s">
        <v>261</v>
      </c>
      <c r="F2428" s="3">
        <v>199.61</v>
      </c>
      <c r="G2428" t="s">
        <v>111</v>
      </c>
      <c r="H2428" s="1" t="s">
        <v>60</v>
      </c>
      <c r="I2428" t="s">
        <v>1374</v>
      </c>
      <c r="J2428" t="s">
        <v>1322</v>
      </c>
      <c r="K2428" t="s">
        <v>1303</v>
      </c>
      <c r="L2428" t="s">
        <v>1323</v>
      </c>
      <c r="M2428">
        <v>908849</v>
      </c>
    </row>
    <row r="2429" spans="1:13" ht="15">
      <c r="A2429" s="4">
        <v>201407</v>
      </c>
      <c r="B2429" t="s">
        <v>1321</v>
      </c>
      <c r="C2429" s="5">
        <v>6585477</v>
      </c>
      <c r="D2429" s="2" t="s">
        <v>1349</v>
      </c>
      <c r="E2429" s="2" t="s">
        <v>261</v>
      </c>
      <c r="F2429" s="3">
        <v>494.5</v>
      </c>
      <c r="G2429" t="s">
        <v>1375</v>
      </c>
      <c r="H2429" s="1" t="s">
        <v>60</v>
      </c>
      <c r="I2429" t="s">
        <v>1376</v>
      </c>
      <c r="J2429" t="s">
        <v>1322</v>
      </c>
      <c r="K2429" t="s">
        <v>1303</v>
      </c>
      <c r="L2429" t="s">
        <v>1323</v>
      </c>
      <c r="M2429">
        <v>908157</v>
      </c>
    </row>
    <row r="2430" spans="1:14" ht="15">
      <c r="A2430" s="4">
        <v>201407</v>
      </c>
      <c r="B2430" t="s">
        <v>1321</v>
      </c>
      <c r="C2430" s="5">
        <v>6585477</v>
      </c>
      <c r="D2430" s="2" t="s">
        <v>1349</v>
      </c>
      <c r="E2430" s="2" t="s">
        <v>261</v>
      </c>
      <c r="F2430" s="3">
        <v>504.23</v>
      </c>
      <c r="G2430" t="s">
        <v>57</v>
      </c>
      <c r="H2430" s="1" t="s">
        <v>60</v>
      </c>
      <c r="I2430" t="s">
        <v>1377</v>
      </c>
      <c r="J2430" t="s">
        <v>1322</v>
      </c>
      <c r="K2430" t="s">
        <v>1303</v>
      </c>
      <c r="L2430" t="s">
        <v>1323</v>
      </c>
      <c r="N2430" t="s">
        <v>58</v>
      </c>
    </row>
    <row r="2431" spans="1:13" ht="15">
      <c r="A2431" s="4">
        <v>201407</v>
      </c>
      <c r="B2431" t="s">
        <v>1321</v>
      </c>
      <c r="C2431" s="5">
        <v>6585477</v>
      </c>
      <c r="D2431" s="2" t="s">
        <v>1349</v>
      </c>
      <c r="E2431" s="2" t="s">
        <v>261</v>
      </c>
      <c r="F2431" s="3">
        <v>751</v>
      </c>
      <c r="G2431" t="s">
        <v>668</v>
      </c>
      <c r="H2431" s="1" t="s">
        <v>60</v>
      </c>
      <c r="I2431" t="e">
        <f>-ASSEMBLY,HOSE,air-air HOSE ASSEMBLY</f>
        <v>#NAME?</v>
      </c>
      <c r="J2431" t="s">
        <v>1322</v>
      </c>
      <c r="K2431" t="s">
        <v>1303</v>
      </c>
      <c r="L2431" t="s">
        <v>1323</v>
      </c>
      <c r="M2431">
        <v>908802</v>
      </c>
    </row>
    <row r="2432" spans="1:14" ht="15">
      <c r="A2432" s="4">
        <v>201407</v>
      </c>
      <c r="B2432" t="s">
        <v>1321</v>
      </c>
      <c r="C2432" s="5">
        <v>6585477</v>
      </c>
      <c r="D2432" s="2" t="s">
        <v>1349</v>
      </c>
      <c r="E2432" s="2" t="s">
        <v>261</v>
      </c>
      <c r="F2432" s="3">
        <v>796.9</v>
      </c>
      <c r="G2432" t="s">
        <v>57</v>
      </c>
      <c r="H2432" s="1" t="s">
        <v>60</v>
      </c>
      <c r="I2432">
        <f>-35085/624213001/1</f>
        <v>-5.6206775481755786E-05</v>
      </c>
      <c r="J2432" t="s">
        <v>1322</v>
      </c>
      <c r="K2432" t="s">
        <v>1303</v>
      </c>
      <c r="L2432" t="s">
        <v>1323</v>
      </c>
      <c r="N2432" t="s">
        <v>58</v>
      </c>
    </row>
    <row r="2433" spans="1:14" ht="15">
      <c r="A2433" s="4">
        <v>201407</v>
      </c>
      <c r="B2433" t="s">
        <v>1321</v>
      </c>
      <c r="C2433" s="5">
        <v>6585477</v>
      </c>
      <c r="D2433" s="2" t="s">
        <v>1349</v>
      </c>
      <c r="E2433" s="2" t="s">
        <v>261</v>
      </c>
      <c r="F2433" s="3">
        <v>1021.68</v>
      </c>
      <c r="G2433" t="s">
        <v>57</v>
      </c>
      <c r="H2433" s="1" t="s">
        <v>60</v>
      </c>
      <c r="I2433">
        <f>-69671/50306410/1</f>
        <v>-0.0013849328544811685</v>
      </c>
      <c r="J2433" t="s">
        <v>1322</v>
      </c>
      <c r="K2433" t="s">
        <v>1303</v>
      </c>
      <c r="L2433" t="s">
        <v>1323</v>
      </c>
      <c r="N2433" t="s">
        <v>58</v>
      </c>
    </row>
    <row r="2434" spans="1:12" ht="15">
      <c r="A2434" s="4">
        <v>201407</v>
      </c>
      <c r="B2434" t="s">
        <v>1321</v>
      </c>
      <c r="C2434" s="5">
        <v>6585477</v>
      </c>
      <c r="D2434" s="2" t="s">
        <v>1349</v>
      </c>
      <c r="E2434" s="2" t="s">
        <v>261</v>
      </c>
      <c r="F2434" s="3">
        <v>2250</v>
      </c>
      <c r="H2434" s="1" t="s">
        <v>60</v>
      </c>
      <c r="I2434" t="s">
        <v>1378</v>
      </c>
      <c r="J2434" t="s">
        <v>1322</v>
      </c>
      <c r="K2434" t="s">
        <v>1303</v>
      </c>
      <c r="L2434" t="s">
        <v>1323</v>
      </c>
    </row>
    <row r="2435" spans="1:14" ht="15">
      <c r="A2435" s="4">
        <v>201407</v>
      </c>
      <c r="B2435" t="s">
        <v>1321</v>
      </c>
      <c r="C2435" s="5">
        <v>6585477</v>
      </c>
      <c r="D2435" s="2" t="s">
        <v>1349</v>
      </c>
      <c r="E2435" s="2" t="s">
        <v>261</v>
      </c>
      <c r="F2435" s="3">
        <v>2896.08</v>
      </c>
      <c r="G2435" t="s">
        <v>57</v>
      </c>
      <c r="H2435" s="1" t="s">
        <v>60</v>
      </c>
      <c r="I2435">
        <f>-69671/50306032/1</f>
        <v>-0.001384943260879729</v>
      </c>
      <c r="J2435" t="s">
        <v>1322</v>
      </c>
      <c r="K2435" t="s">
        <v>1303</v>
      </c>
      <c r="L2435" t="s">
        <v>1323</v>
      </c>
      <c r="N2435" t="s">
        <v>58</v>
      </c>
    </row>
    <row r="2436" spans="1:13" ht="15">
      <c r="A2436" s="4">
        <v>201407</v>
      </c>
      <c r="B2436" t="s">
        <v>1321</v>
      </c>
      <c r="C2436" s="5">
        <v>6585477</v>
      </c>
      <c r="D2436" s="2" t="s">
        <v>1349</v>
      </c>
      <c r="E2436" s="2" t="s">
        <v>261</v>
      </c>
      <c r="F2436" s="3">
        <v>5885</v>
      </c>
      <c r="G2436" t="s">
        <v>1379</v>
      </c>
      <c r="H2436" s="1" t="s">
        <v>60</v>
      </c>
      <c r="I2436" t="s">
        <v>1380</v>
      </c>
      <c r="J2436" t="s">
        <v>1322</v>
      </c>
      <c r="K2436" t="s">
        <v>1303</v>
      </c>
      <c r="L2436" t="s">
        <v>1323</v>
      </c>
      <c r="M2436">
        <v>908191</v>
      </c>
    </row>
    <row r="2437" spans="1:13" ht="15">
      <c r="A2437" s="4">
        <v>201407</v>
      </c>
      <c r="B2437" t="s">
        <v>1321</v>
      </c>
      <c r="C2437" s="5">
        <v>6585477</v>
      </c>
      <c r="D2437" s="2" t="s">
        <v>1349</v>
      </c>
      <c r="E2437" s="2" t="s">
        <v>261</v>
      </c>
      <c r="F2437" s="3">
        <v>6640.61</v>
      </c>
      <c r="G2437" t="s">
        <v>111</v>
      </c>
      <c r="H2437" s="1" t="s">
        <v>60</v>
      </c>
      <c r="I2437" t="e">
        <f>-FILTERS/EHC</f>
        <v>#NAME?</v>
      </c>
      <c r="J2437" t="s">
        <v>1322</v>
      </c>
      <c r="K2437" t="s">
        <v>1303</v>
      </c>
      <c r="L2437" t="s">
        <v>1323</v>
      </c>
      <c r="M2437">
        <v>908625</v>
      </c>
    </row>
    <row r="2438" spans="1:14" ht="15">
      <c r="A2438" s="4">
        <v>201407</v>
      </c>
      <c r="B2438" t="s">
        <v>1321</v>
      </c>
      <c r="C2438" s="5">
        <v>6585477</v>
      </c>
      <c r="D2438" s="2" t="s">
        <v>1349</v>
      </c>
      <c r="E2438" s="2" t="s">
        <v>261</v>
      </c>
      <c r="F2438" s="3">
        <v>8403.8</v>
      </c>
      <c r="G2438" t="s">
        <v>123</v>
      </c>
      <c r="H2438" s="1" t="s">
        <v>60</v>
      </c>
      <c r="I2438" t="s">
        <v>1381</v>
      </c>
      <c r="J2438" t="s">
        <v>1322</v>
      </c>
      <c r="K2438" t="s">
        <v>1303</v>
      </c>
      <c r="L2438" t="s">
        <v>1323</v>
      </c>
      <c r="N2438" t="s">
        <v>124</v>
      </c>
    </row>
    <row r="2439" spans="1:13" ht="15">
      <c r="A2439" s="4">
        <v>201407</v>
      </c>
      <c r="B2439" t="s">
        <v>1321</v>
      </c>
      <c r="C2439" s="5">
        <v>6585477</v>
      </c>
      <c r="D2439" s="2" t="s">
        <v>1349</v>
      </c>
      <c r="E2439" s="2" t="s">
        <v>261</v>
      </c>
      <c r="F2439" s="3">
        <v>8874.14</v>
      </c>
      <c r="G2439" t="s">
        <v>111</v>
      </c>
      <c r="H2439" s="1" t="s">
        <v>60</v>
      </c>
      <c r="I2439" t="s">
        <v>1382</v>
      </c>
      <c r="J2439" t="s">
        <v>1322</v>
      </c>
      <c r="K2439" t="s">
        <v>1303</v>
      </c>
      <c r="L2439" t="s">
        <v>1323</v>
      </c>
      <c r="M2439">
        <v>908796</v>
      </c>
    </row>
    <row r="2440" spans="1:14" ht="15">
      <c r="A2440" s="4">
        <v>201407</v>
      </c>
      <c r="B2440" t="s">
        <v>1321</v>
      </c>
      <c r="C2440" s="5">
        <v>6585477</v>
      </c>
      <c r="D2440" s="2" t="s">
        <v>1349</v>
      </c>
      <c r="E2440" s="2" t="s">
        <v>261</v>
      </c>
      <c r="F2440" s="3">
        <v>9147.7</v>
      </c>
      <c r="G2440" t="s">
        <v>123</v>
      </c>
      <c r="H2440" s="1" t="s">
        <v>60</v>
      </c>
      <c r="I2440" t="s">
        <v>1383</v>
      </c>
      <c r="J2440" t="s">
        <v>1322</v>
      </c>
      <c r="K2440" t="s">
        <v>1303</v>
      </c>
      <c r="L2440" t="s">
        <v>1323</v>
      </c>
      <c r="N2440" t="s">
        <v>124</v>
      </c>
    </row>
    <row r="2441" spans="1:13" ht="15">
      <c r="A2441" s="4">
        <v>201407</v>
      </c>
      <c r="B2441" t="s">
        <v>1321</v>
      </c>
      <c r="C2441" s="5">
        <v>6585477</v>
      </c>
      <c r="D2441" s="2" t="s">
        <v>1349</v>
      </c>
      <c r="E2441" s="2" t="s">
        <v>261</v>
      </c>
      <c r="F2441" s="3">
        <v>16148</v>
      </c>
      <c r="G2441" t="s">
        <v>1379</v>
      </c>
      <c r="H2441" s="1" t="s">
        <v>60</v>
      </c>
      <c r="I2441" t="s">
        <v>1384</v>
      </c>
      <c r="J2441" t="s">
        <v>1322</v>
      </c>
      <c r="K2441" t="s">
        <v>1303</v>
      </c>
      <c r="L2441" t="s">
        <v>1323</v>
      </c>
      <c r="M2441">
        <v>908191</v>
      </c>
    </row>
    <row r="2442" spans="1:13" ht="15">
      <c r="A2442" s="4">
        <v>201407</v>
      </c>
      <c r="B2442" t="s">
        <v>1321</v>
      </c>
      <c r="C2442" s="5">
        <v>6585477</v>
      </c>
      <c r="D2442" s="2" t="s">
        <v>1349</v>
      </c>
      <c r="E2442" s="2" t="s">
        <v>261</v>
      </c>
      <c r="F2442" s="3">
        <v>17028</v>
      </c>
      <c r="G2442" t="s">
        <v>1379</v>
      </c>
      <c r="H2442" s="1" t="s">
        <v>60</v>
      </c>
      <c r="I2442" t="s">
        <v>1385</v>
      </c>
      <c r="J2442" t="s">
        <v>1322</v>
      </c>
      <c r="K2442" t="s">
        <v>1303</v>
      </c>
      <c r="L2442" t="s">
        <v>1323</v>
      </c>
      <c r="M2442">
        <v>908363</v>
      </c>
    </row>
    <row r="2443" spans="1:13" ht="15">
      <c r="A2443" s="4">
        <v>201407</v>
      </c>
      <c r="B2443" t="s">
        <v>1321</v>
      </c>
      <c r="C2443" s="5">
        <v>6585477</v>
      </c>
      <c r="D2443" s="2" t="s">
        <v>1349</v>
      </c>
      <c r="E2443" s="2" t="s">
        <v>261</v>
      </c>
      <c r="F2443" s="3">
        <v>26235</v>
      </c>
      <c r="G2443" t="s">
        <v>1379</v>
      </c>
      <c r="H2443" s="1" t="s">
        <v>60</v>
      </c>
      <c r="I2443" t="e">
        <f>-Fyrquel EHC Plus</f>
        <v>#NAME?</v>
      </c>
      <c r="J2443" t="s">
        <v>1322</v>
      </c>
      <c r="K2443" t="s">
        <v>1303</v>
      </c>
      <c r="L2443" t="s">
        <v>1323</v>
      </c>
      <c r="M2443">
        <v>908191</v>
      </c>
    </row>
    <row r="2444" spans="1:12" ht="15">
      <c r="A2444" s="4">
        <v>201408</v>
      </c>
      <c r="B2444" t="s">
        <v>1321</v>
      </c>
      <c r="C2444" s="5">
        <v>6585477</v>
      </c>
      <c r="D2444" s="2" t="s">
        <v>1349</v>
      </c>
      <c r="E2444" s="2" t="s">
        <v>261</v>
      </c>
      <c r="F2444" s="3">
        <v>-2250</v>
      </c>
      <c r="H2444" s="1" t="s">
        <v>60</v>
      </c>
      <c r="I2444" t="s">
        <v>1378</v>
      </c>
      <c r="J2444" t="s">
        <v>1322</v>
      </c>
      <c r="K2444" t="s">
        <v>1303</v>
      </c>
      <c r="L2444" t="s">
        <v>1323</v>
      </c>
    </row>
    <row r="2445" spans="1:14" ht="15">
      <c r="A2445" s="4">
        <v>201408</v>
      </c>
      <c r="B2445" t="s">
        <v>1321</v>
      </c>
      <c r="C2445" s="5">
        <v>6585477</v>
      </c>
      <c r="D2445" s="2" t="s">
        <v>1349</v>
      </c>
      <c r="E2445" s="2" t="s">
        <v>261</v>
      </c>
      <c r="F2445" s="3">
        <v>135</v>
      </c>
      <c r="G2445" t="s">
        <v>57</v>
      </c>
      <c r="H2445" s="1" t="s">
        <v>60</v>
      </c>
      <c r="I2445">
        <f>-73571/878441/1</f>
        <v>-0.08375178298827127</v>
      </c>
      <c r="J2445" t="s">
        <v>1322</v>
      </c>
      <c r="K2445" t="s">
        <v>1303</v>
      </c>
      <c r="L2445" t="s">
        <v>1323</v>
      </c>
      <c r="N2445" t="s">
        <v>58</v>
      </c>
    </row>
    <row r="2446" spans="1:13" ht="15">
      <c r="A2446" s="4">
        <v>201408</v>
      </c>
      <c r="B2446" t="s">
        <v>1321</v>
      </c>
      <c r="C2446" s="5">
        <v>6585477</v>
      </c>
      <c r="D2446" s="2" t="s">
        <v>1349</v>
      </c>
      <c r="E2446" s="2" t="s">
        <v>261</v>
      </c>
      <c r="F2446" s="3">
        <v>2250</v>
      </c>
      <c r="G2446" t="s">
        <v>1386</v>
      </c>
      <c r="H2446" s="1" t="s">
        <v>60</v>
      </c>
      <c r="I2446" t="s">
        <v>1387</v>
      </c>
      <c r="J2446" t="s">
        <v>1322</v>
      </c>
      <c r="K2446" t="s">
        <v>1303</v>
      </c>
      <c r="L2446" t="s">
        <v>1323</v>
      </c>
      <c r="M2446">
        <v>878441</v>
      </c>
    </row>
    <row r="2447" spans="1:12" ht="15">
      <c r="A2447" s="4">
        <v>201408</v>
      </c>
      <c r="B2447" t="s">
        <v>1321</v>
      </c>
      <c r="C2447" s="5">
        <v>6585477</v>
      </c>
      <c r="D2447" s="2" t="s">
        <v>1349</v>
      </c>
      <c r="E2447" s="2" t="s">
        <v>261</v>
      </c>
      <c r="F2447" s="3">
        <v>2334.88</v>
      </c>
      <c r="H2447" s="1" t="s">
        <v>60</v>
      </c>
      <c r="I2447" t="s">
        <v>1388</v>
      </c>
      <c r="J2447" t="s">
        <v>1322</v>
      </c>
      <c r="K2447" t="s">
        <v>1303</v>
      </c>
      <c r="L2447" t="s">
        <v>1323</v>
      </c>
    </row>
    <row r="2448" spans="1:12" ht="15">
      <c r="A2448" s="4">
        <v>201409</v>
      </c>
      <c r="B2448" t="s">
        <v>1321</v>
      </c>
      <c r="C2448" s="5">
        <v>6585477</v>
      </c>
      <c r="D2448" s="2" t="s">
        <v>1349</v>
      </c>
      <c r="E2448" s="2" t="s">
        <v>261</v>
      </c>
      <c r="F2448" s="3">
        <v>0</v>
      </c>
      <c r="H2448" s="1" t="s">
        <v>60</v>
      </c>
      <c r="I2448" t="s">
        <v>1388</v>
      </c>
      <c r="J2448" t="s">
        <v>1322</v>
      </c>
      <c r="K2448" t="s">
        <v>1303</v>
      </c>
      <c r="L2448" t="s">
        <v>1323</v>
      </c>
    </row>
    <row r="2449" spans="1:12" ht="15">
      <c r="A2449" s="4">
        <v>201410</v>
      </c>
      <c r="B2449" t="s">
        <v>1321</v>
      </c>
      <c r="C2449" s="5">
        <v>6585477</v>
      </c>
      <c r="D2449" s="2" t="s">
        <v>1349</v>
      </c>
      <c r="E2449" s="2" t="s">
        <v>261</v>
      </c>
      <c r="F2449" s="3">
        <v>-2334.88</v>
      </c>
      <c r="H2449" s="1" t="s">
        <v>60</v>
      </c>
      <c r="I2449" t="s">
        <v>1388</v>
      </c>
      <c r="J2449" t="s">
        <v>1322</v>
      </c>
      <c r="K2449" t="s">
        <v>1303</v>
      </c>
      <c r="L2449" t="s">
        <v>1323</v>
      </c>
    </row>
    <row r="2450" spans="1:13" ht="15">
      <c r="A2450" s="4">
        <v>201410</v>
      </c>
      <c r="B2450" t="s">
        <v>1321</v>
      </c>
      <c r="C2450" s="5">
        <v>6585477</v>
      </c>
      <c r="D2450" s="2" t="s">
        <v>1349</v>
      </c>
      <c r="E2450" s="2" t="s">
        <v>261</v>
      </c>
      <c r="F2450" s="3">
        <v>130.46</v>
      </c>
      <c r="G2450" t="s">
        <v>96</v>
      </c>
      <c r="H2450" s="1" t="s">
        <v>60</v>
      </c>
      <c r="I2450" t="e">
        <f>-RING,Retaining-Retaining RING</f>
        <v>#NAME?</v>
      </c>
      <c r="J2450" t="s">
        <v>1322</v>
      </c>
      <c r="K2450" t="s">
        <v>1303</v>
      </c>
      <c r="L2450" t="s">
        <v>1323</v>
      </c>
      <c r="M2450">
        <v>908938</v>
      </c>
    </row>
    <row r="2451" spans="1:14" ht="15">
      <c r="A2451" s="4">
        <v>201410</v>
      </c>
      <c r="B2451" t="s">
        <v>1321</v>
      </c>
      <c r="C2451" s="5">
        <v>6585477</v>
      </c>
      <c r="D2451" s="2" t="s">
        <v>1349</v>
      </c>
      <c r="E2451" s="2" t="s">
        <v>261</v>
      </c>
      <c r="F2451" s="3">
        <v>147.99</v>
      </c>
      <c r="G2451" t="s">
        <v>57</v>
      </c>
      <c r="H2451" s="1" t="s">
        <v>60</v>
      </c>
      <c r="I2451" t="e">
        <f>-16294/KY67762287/1</f>
        <v>#NAME?</v>
      </c>
      <c r="J2451" t="s">
        <v>1322</v>
      </c>
      <c r="K2451" t="s">
        <v>1303</v>
      </c>
      <c r="L2451" t="s">
        <v>1323</v>
      </c>
      <c r="N2451" t="s">
        <v>58</v>
      </c>
    </row>
    <row r="2452" spans="1:13" ht="15">
      <c r="A2452" s="4">
        <v>201410</v>
      </c>
      <c r="B2452" t="s">
        <v>1321</v>
      </c>
      <c r="C2452" s="5">
        <v>6585477</v>
      </c>
      <c r="D2452" s="2" t="s">
        <v>1349</v>
      </c>
      <c r="E2452" s="2" t="s">
        <v>261</v>
      </c>
      <c r="F2452" s="3">
        <v>2312.88</v>
      </c>
      <c r="G2452" t="s">
        <v>96</v>
      </c>
      <c r="H2452" s="1" t="s">
        <v>60</v>
      </c>
      <c r="I2452" t="e">
        <f>-joint,expansion-expansion joint Viton</f>
        <v>#NAME?</v>
      </c>
      <c r="J2452" t="s">
        <v>1322</v>
      </c>
      <c r="K2452" t="s">
        <v>1303</v>
      </c>
      <c r="L2452" t="s">
        <v>1323</v>
      </c>
      <c r="M2452">
        <v>908938</v>
      </c>
    </row>
    <row r="2453" spans="1:12" ht="15">
      <c r="A2453" s="4">
        <v>201407</v>
      </c>
      <c r="B2453" t="s">
        <v>1321</v>
      </c>
      <c r="C2453" s="5">
        <v>6585477</v>
      </c>
      <c r="D2453" s="2" t="s">
        <v>1349</v>
      </c>
      <c r="E2453" s="2" t="s">
        <v>261</v>
      </c>
      <c r="F2453" s="3">
        <v>75.26</v>
      </c>
      <c r="H2453" s="1" t="s">
        <v>66</v>
      </c>
      <c r="I2453" t="s">
        <v>67</v>
      </c>
      <c r="J2453" t="s">
        <v>1322</v>
      </c>
      <c r="K2453" t="s">
        <v>1303</v>
      </c>
      <c r="L2453" t="s">
        <v>1323</v>
      </c>
    </row>
    <row r="2454" spans="1:13" ht="15">
      <c r="A2454" s="4">
        <v>201408</v>
      </c>
      <c r="B2454" t="s">
        <v>1321</v>
      </c>
      <c r="C2454" s="5">
        <v>6585477</v>
      </c>
      <c r="D2454" s="2" t="s">
        <v>1349</v>
      </c>
      <c r="E2454" s="2" t="s">
        <v>261</v>
      </c>
      <c r="F2454" s="3">
        <v>1850</v>
      </c>
      <c r="G2454" t="s">
        <v>1364</v>
      </c>
      <c r="H2454" s="1" t="s">
        <v>755</v>
      </c>
      <c r="I2454" t="e">
        <f>-RENTAL FOR EXTERNAL HEAT EXCHANGER</f>
        <v>#NAME?</v>
      </c>
      <c r="J2454" t="s">
        <v>1322</v>
      </c>
      <c r="K2454" t="s">
        <v>1303</v>
      </c>
      <c r="L2454" t="s">
        <v>1323</v>
      </c>
      <c r="M2454">
        <v>911101</v>
      </c>
    </row>
    <row r="2455" spans="1:13" ht="15">
      <c r="A2455" s="4">
        <v>201409</v>
      </c>
      <c r="B2455" t="s">
        <v>1321</v>
      </c>
      <c r="C2455" s="5">
        <v>6585477</v>
      </c>
      <c r="D2455" s="2" t="s">
        <v>1349</v>
      </c>
      <c r="E2455" s="2" t="s">
        <v>261</v>
      </c>
      <c r="F2455" s="3">
        <v>1850</v>
      </c>
      <c r="G2455" t="s">
        <v>1364</v>
      </c>
      <c r="H2455" s="1" t="s">
        <v>755</v>
      </c>
      <c r="I2455" t="e">
        <f>-RENTAL FOR EXTERNAL HEAT EXCHANGER</f>
        <v>#NAME?</v>
      </c>
      <c r="J2455" t="s">
        <v>1322</v>
      </c>
      <c r="K2455" t="s">
        <v>1303</v>
      </c>
      <c r="L2455" t="s">
        <v>1323</v>
      </c>
      <c r="M2455">
        <v>911101</v>
      </c>
    </row>
    <row r="2456" spans="1:13" ht="15">
      <c r="A2456" s="4">
        <v>201410</v>
      </c>
      <c r="B2456" t="s">
        <v>1321</v>
      </c>
      <c r="C2456" s="5">
        <v>6585477</v>
      </c>
      <c r="D2456" s="2" t="s">
        <v>1349</v>
      </c>
      <c r="E2456" s="2" t="s">
        <v>261</v>
      </c>
      <c r="F2456" s="3">
        <v>1850</v>
      </c>
      <c r="G2456" t="s">
        <v>1364</v>
      </c>
      <c r="H2456" s="1" t="s">
        <v>755</v>
      </c>
      <c r="I2456" t="e">
        <f>-RENTAL FOR EXTERNAL HEAT EXCHANGER</f>
        <v>#NAME?</v>
      </c>
      <c r="J2456" t="s">
        <v>1322</v>
      </c>
      <c r="K2456" t="s">
        <v>1303</v>
      </c>
      <c r="L2456" t="s">
        <v>1323</v>
      </c>
      <c r="M2456">
        <v>911101</v>
      </c>
    </row>
    <row r="2457" spans="1:14" ht="15">
      <c r="A2457" s="4">
        <v>201412</v>
      </c>
      <c r="B2457" t="s">
        <v>1321</v>
      </c>
      <c r="C2457" s="5">
        <v>6585477</v>
      </c>
      <c r="D2457" s="2" t="s">
        <v>1349</v>
      </c>
      <c r="E2457" s="2" t="s">
        <v>261</v>
      </c>
      <c r="F2457" s="3">
        <v>111</v>
      </c>
      <c r="G2457" t="s">
        <v>57</v>
      </c>
      <c r="H2457" s="1" t="s">
        <v>755</v>
      </c>
      <c r="I2457">
        <f>-71950/2660/1</f>
        <v>-27.048872180451127</v>
      </c>
      <c r="J2457" t="s">
        <v>1322</v>
      </c>
      <c r="K2457" t="s">
        <v>1303</v>
      </c>
      <c r="L2457" t="s">
        <v>1323</v>
      </c>
      <c r="N2457" t="s">
        <v>58</v>
      </c>
    </row>
    <row r="2458" spans="1:13" ht="15">
      <c r="A2458" s="4">
        <v>201412</v>
      </c>
      <c r="B2458" t="s">
        <v>1321</v>
      </c>
      <c r="C2458" s="5">
        <v>6585477</v>
      </c>
      <c r="D2458" s="2" t="s">
        <v>1349</v>
      </c>
      <c r="E2458" s="2" t="s">
        <v>261</v>
      </c>
      <c r="F2458" s="3">
        <v>1850</v>
      </c>
      <c r="G2458" t="s">
        <v>1364</v>
      </c>
      <c r="H2458" s="1" t="s">
        <v>755</v>
      </c>
      <c r="I2458" t="e">
        <f>-RENTAL FOR EXTERNAL HEAT EXCHANGER</f>
        <v>#NAME?</v>
      </c>
      <c r="J2458" t="s">
        <v>1322</v>
      </c>
      <c r="K2458" t="s">
        <v>1303</v>
      </c>
      <c r="L2458" t="s">
        <v>1323</v>
      </c>
      <c r="M2458">
        <v>911101</v>
      </c>
    </row>
    <row r="2459" spans="1:14" ht="15">
      <c r="A2459" s="4">
        <v>201409</v>
      </c>
      <c r="B2459" t="s">
        <v>1321</v>
      </c>
      <c r="C2459" s="5">
        <v>6585477</v>
      </c>
      <c r="D2459" s="2" t="s">
        <v>1349</v>
      </c>
      <c r="E2459" s="2" t="s">
        <v>261</v>
      </c>
      <c r="F2459" s="3">
        <v>39</v>
      </c>
      <c r="G2459" t="s">
        <v>1390</v>
      </c>
      <c r="H2459" s="1" t="s">
        <v>1389</v>
      </c>
      <c r="I2459" t="e">
        <f>-Parking</f>
        <v>#NAME?</v>
      </c>
      <c r="J2459" t="s">
        <v>1322</v>
      </c>
      <c r="K2459" t="s">
        <v>1303</v>
      </c>
      <c r="L2459" t="s">
        <v>1323</v>
      </c>
      <c r="N2459" t="s">
        <v>82</v>
      </c>
    </row>
    <row r="2460" spans="1:14" ht="15">
      <c r="A2460" s="4">
        <v>201409</v>
      </c>
      <c r="B2460" t="s">
        <v>1321</v>
      </c>
      <c r="C2460" s="5">
        <v>6585477</v>
      </c>
      <c r="D2460" s="2" t="s">
        <v>1349</v>
      </c>
      <c r="E2460" s="2" t="s">
        <v>261</v>
      </c>
      <c r="F2460" s="3">
        <v>186.19</v>
      </c>
      <c r="G2460" t="s">
        <v>1390</v>
      </c>
      <c r="H2460" s="1" t="s">
        <v>1389</v>
      </c>
      <c r="I2460" t="e">
        <f>-Fuel/Gasoline</f>
        <v>#NAME?</v>
      </c>
      <c r="J2460" t="s">
        <v>1322</v>
      </c>
      <c r="K2460" t="s">
        <v>1303</v>
      </c>
      <c r="L2460" t="s">
        <v>1323</v>
      </c>
      <c r="N2460" t="s">
        <v>82</v>
      </c>
    </row>
    <row r="2461" spans="1:14" ht="15">
      <c r="A2461" s="4">
        <v>201409</v>
      </c>
      <c r="B2461" t="s">
        <v>1321</v>
      </c>
      <c r="C2461" s="5">
        <v>6585477</v>
      </c>
      <c r="D2461" s="2" t="s">
        <v>1349</v>
      </c>
      <c r="E2461" s="2" t="s">
        <v>261</v>
      </c>
      <c r="F2461" s="3">
        <v>286.68</v>
      </c>
      <c r="G2461" t="s">
        <v>1390</v>
      </c>
      <c r="H2461" s="1" t="s">
        <v>1389</v>
      </c>
      <c r="I2461" t="e">
        <f>-Lodging</f>
        <v>#NAME?</v>
      </c>
      <c r="J2461" t="s">
        <v>1322</v>
      </c>
      <c r="K2461" t="s">
        <v>1303</v>
      </c>
      <c r="L2461" t="s">
        <v>1323</v>
      </c>
      <c r="N2461" t="s">
        <v>82</v>
      </c>
    </row>
    <row r="2462" spans="1:14" ht="15">
      <c r="A2462" s="4">
        <v>201409</v>
      </c>
      <c r="B2462" t="s">
        <v>1321</v>
      </c>
      <c r="C2462" s="5">
        <v>6585477</v>
      </c>
      <c r="D2462" s="2" t="s">
        <v>1349</v>
      </c>
      <c r="E2462" s="2" t="s">
        <v>261</v>
      </c>
      <c r="F2462" s="3">
        <v>299.18</v>
      </c>
      <c r="G2462" t="s">
        <v>1390</v>
      </c>
      <c r="H2462" s="1" t="s">
        <v>1389</v>
      </c>
      <c r="I2462" t="e">
        <f>-Car RENTAL</f>
        <v>#NAME?</v>
      </c>
      <c r="J2462" t="s">
        <v>1322</v>
      </c>
      <c r="K2462" t="s">
        <v>1303</v>
      </c>
      <c r="L2462" t="s">
        <v>1323</v>
      </c>
      <c r="N2462" t="s">
        <v>82</v>
      </c>
    </row>
    <row r="2463" spans="1:14" ht="15">
      <c r="A2463" s="4">
        <v>201409</v>
      </c>
      <c r="B2463" t="s">
        <v>1321</v>
      </c>
      <c r="C2463" s="5">
        <v>6585477</v>
      </c>
      <c r="D2463" s="2" t="s">
        <v>1349</v>
      </c>
      <c r="E2463" s="2" t="s">
        <v>261</v>
      </c>
      <c r="F2463" s="3">
        <v>1524</v>
      </c>
      <c r="G2463" t="s">
        <v>1390</v>
      </c>
      <c r="H2463" s="1" t="s">
        <v>1389</v>
      </c>
      <c r="I2463" t="e">
        <f>-Airfare</f>
        <v>#NAME?</v>
      </c>
      <c r="J2463" t="s">
        <v>1322</v>
      </c>
      <c r="K2463" t="s">
        <v>1303</v>
      </c>
      <c r="L2463" t="s">
        <v>1323</v>
      </c>
      <c r="N2463" t="s">
        <v>82</v>
      </c>
    </row>
    <row r="2464" spans="1:14" ht="15">
      <c r="A2464" s="4">
        <v>201409</v>
      </c>
      <c r="B2464" t="s">
        <v>1321</v>
      </c>
      <c r="C2464" s="5">
        <v>6585477</v>
      </c>
      <c r="D2464" s="2" t="s">
        <v>1349</v>
      </c>
      <c r="E2464" s="2" t="s">
        <v>261</v>
      </c>
      <c r="F2464" s="3">
        <v>104.38</v>
      </c>
      <c r="G2464" t="s">
        <v>1390</v>
      </c>
      <c r="H2464" s="1" t="s">
        <v>1391</v>
      </c>
      <c r="I2464" t="e">
        <f>-Meals-Offsite/Mtgs/Business Travel</f>
        <v>#NAME?</v>
      </c>
      <c r="J2464" t="s">
        <v>1322</v>
      </c>
      <c r="K2464" t="s">
        <v>1303</v>
      </c>
      <c r="L2464" t="s">
        <v>1323</v>
      </c>
      <c r="N2464" t="s">
        <v>82</v>
      </c>
    </row>
    <row r="2465" spans="1:12" ht="15">
      <c r="A2465" s="4">
        <v>201407</v>
      </c>
      <c r="B2465" t="s">
        <v>1321</v>
      </c>
      <c r="C2465" s="5">
        <v>6585477</v>
      </c>
      <c r="D2465" s="2" t="s">
        <v>1349</v>
      </c>
      <c r="E2465" s="2" t="s">
        <v>261</v>
      </c>
      <c r="F2465" s="3">
        <v>0</v>
      </c>
      <c r="H2465" s="1" t="s">
        <v>68</v>
      </c>
      <c r="J2465" t="s">
        <v>1322</v>
      </c>
      <c r="K2465" t="s">
        <v>1303</v>
      </c>
      <c r="L2465" t="s">
        <v>1323</v>
      </c>
    </row>
    <row r="2466" spans="1:12" ht="15">
      <c r="A2466" s="4">
        <v>201407</v>
      </c>
      <c r="B2466" t="s">
        <v>1321</v>
      </c>
      <c r="C2466" s="5">
        <v>6585477</v>
      </c>
      <c r="D2466" s="2" t="s">
        <v>1349</v>
      </c>
      <c r="E2466" s="2" t="s">
        <v>261</v>
      </c>
      <c r="F2466" s="3">
        <v>0</v>
      </c>
      <c r="H2466" s="1" t="s">
        <v>68</v>
      </c>
      <c r="J2466" t="s">
        <v>1322</v>
      </c>
      <c r="K2466" t="s">
        <v>1303</v>
      </c>
      <c r="L2466" t="s">
        <v>1323</v>
      </c>
    </row>
    <row r="2467" spans="1:12" ht="15">
      <c r="A2467" s="4">
        <v>201407</v>
      </c>
      <c r="B2467" t="s">
        <v>1321</v>
      </c>
      <c r="C2467" s="5">
        <v>6585477</v>
      </c>
      <c r="D2467" s="2" t="s">
        <v>1349</v>
      </c>
      <c r="E2467" s="2" t="s">
        <v>261</v>
      </c>
      <c r="F2467" s="3">
        <v>0</v>
      </c>
      <c r="H2467" s="1" t="s">
        <v>68</v>
      </c>
      <c r="J2467" t="s">
        <v>1322</v>
      </c>
      <c r="K2467" t="s">
        <v>1303</v>
      </c>
      <c r="L2467" t="s">
        <v>1323</v>
      </c>
    </row>
    <row r="2468" spans="1:12" ht="15">
      <c r="A2468" s="4">
        <v>201407</v>
      </c>
      <c r="B2468" t="s">
        <v>1321</v>
      </c>
      <c r="C2468" s="5">
        <v>6585477</v>
      </c>
      <c r="D2468" s="2" t="s">
        <v>1349</v>
      </c>
      <c r="E2468" s="2" t="s">
        <v>261</v>
      </c>
      <c r="F2468" s="3">
        <v>0</v>
      </c>
      <c r="H2468" s="1" t="s">
        <v>68</v>
      </c>
      <c r="J2468" t="s">
        <v>1322</v>
      </c>
      <c r="K2468" t="s">
        <v>1303</v>
      </c>
      <c r="L2468" t="s">
        <v>1323</v>
      </c>
    </row>
    <row r="2469" spans="1:12" ht="15">
      <c r="A2469" s="4">
        <v>201407</v>
      </c>
      <c r="B2469" t="s">
        <v>1321</v>
      </c>
      <c r="C2469" s="5">
        <v>6585477</v>
      </c>
      <c r="D2469" s="2" t="s">
        <v>1349</v>
      </c>
      <c r="E2469" s="2" t="s">
        <v>261</v>
      </c>
      <c r="F2469" s="3">
        <v>0</v>
      </c>
      <c r="H2469" s="1" t="s">
        <v>68</v>
      </c>
      <c r="J2469" t="s">
        <v>1322</v>
      </c>
      <c r="K2469" t="s">
        <v>1303</v>
      </c>
      <c r="L2469" t="s">
        <v>1323</v>
      </c>
    </row>
    <row r="2470" spans="1:12" ht="15">
      <c r="A2470" s="4">
        <v>201407</v>
      </c>
      <c r="B2470" t="s">
        <v>1321</v>
      </c>
      <c r="C2470" s="5">
        <v>6585477</v>
      </c>
      <c r="D2470" s="2" t="s">
        <v>1349</v>
      </c>
      <c r="E2470" s="2" t="s">
        <v>261</v>
      </c>
      <c r="F2470" s="3">
        <v>12</v>
      </c>
      <c r="H2470" s="1" t="s">
        <v>68</v>
      </c>
      <c r="J2470" t="s">
        <v>1322</v>
      </c>
      <c r="K2470" t="s">
        <v>1303</v>
      </c>
      <c r="L2470" t="s">
        <v>1323</v>
      </c>
    </row>
    <row r="2471" spans="1:12" ht="15">
      <c r="A2471" s="4">
        <v>201407</v>
      </c>
      <c r="B2471" t="s">
        <v>1321</v>
      </c>
      <c r="C2471" s="5">
        <v>6585477</v>
      </c>
      <c r="D2471" s="2" t="s">
        <v>1349</v>
      </c>
      <c r="E2471" s="2" t="s">
        <v>261</v>
      </c>
      <c r="F2471" s="3">
        <v>36</v>
      </c>
      <c r="H2471" s="1" t="s">
        <v>68</v>
      </c>
      <c r="J2471" t="s">
        <v>1322</v>
      </c>
      <c r="K2471" t="s">
        <v>1303</v>
      </c>
      <c r="L2471" t="s">
        <v>1323</v>
      </c>
    </row>
    <row r="2472" spans="1:12" ht="15">
      <c r="A2472" s="4">
        <v>201407</v>
      </c>
      <c r="B2472" t="s">
        <v>1321</v>
      </c>
      <c r="C2472" s="5">
        <v>6585477</v>
      </c>
      <c r="D2472" s="2" t="s">
        <v>1349</v>
      </c>
      <c r="E2472" s="2" t="s">
        <v>261</v>
      </c>
      <c r="F2472" s="3">
        <v>72.13</v>
      </c>
      <c r="G2472" t="s">
        <v>1392</v>
      </c>
      <c r="H2472" s="1" t="s">
        <v>68</v>
      </c>
      <c r="I2472" t="e">
        <f>-Meals-Onsite/Meetings</f>
        <v>#NAME?</v>
      </c>
      <c r="J2472" t="s">
        <v>1322</v>
      </c>
      <c r="K2472" t="s">
        <v>1303</v>
      </c>
      <c r="L2472" t="s">
        <v>1323</v>
      </c>
    </row>
    <row r="2473" spans="1:14" ht="15">
      <c r="A2473" s="4">
        <v>201407</v>
      </c>
      <c r="B2473" t="s">
        <v>1321</v>
      </c>
      <c r="C2473" s="5">
        <v>6585477</v>
      </c>
      <c r="D2473" s="2" t="s">
        <v>1349</v>
      </c>
      <c r="E2473" s="2" t="s">
        <v>261</v>
      </c>
      <c r="F2473" s="3">
        <v>0.18</v>
      </c>
      <c r="G2473" t="s">
        <v>57</v>
      </c>
      <c r="H2473" s="1" t="s">
        <v>69</v>
      </c>
      <c r="I2473">
        <f>-35085/624004001/1</f>
        <v>-5.6225601027837E-05</v>
      </c>
      <c r="J2473" t="s">
        <v>1322</v>
      </c>
      <c r="K2473" t="s">
        <v>1303</v>
      </c>
      <c r="L2473" t="s">
        <v>1323</v>
      </c>
      <c r="N2473" t="s">
        <v>58</v>
      </c>
    </row>
    <row r="2474" spans="1:14" ht="15">
      <c r="A2474" s="4">
        <v>201407</v>
      </c>
      <c r="B2474" t="s">
        <v>1321</v>
      </c>
      <c r="C2474" s="5">
        <v>6585477</v>
      </c>
      <c r="D2474" s="2" t="s">
        <v>1349</v>
      </c>
      <c r="E2474" s="2" t="s">
        <v>261</v>
      </c>
      <c r="F2474" s="3">
        <v>0.18</v>
      </c>
      <c r="G2474" t="s">
        <v>57</v>
      </c>
      <c r="H2474" s="1" t="s">
        <v>69</v>
      </c>
      <c r="I2474">
        <f>-35085/624213001/1</f>
        <v>-5.6206775481755786E-05</v>
      </c>
      <c r="J2474" t="s">
        <v>1322</v>
      </c>
      <c r="K2474" t="s">
        <v>1303</v>
      </c>
      <c r="L2474" t="s">
        <v>1323</v>
      </c>
      <c r="N2474" t="s">
        <v>58</v>
      </c>
    </row>
    <row r="2475" spans="1:14" ht="15">
      <c r="A2475" s="4">
        <v>201407</v>
      </c>
      <c r="B2475" t="s">
        <v>1321</v>
      </c>
      <c r="C2475" s="5">
        <v>6585477</v>
      </c>
      <c r="D2475" s="2" t="s">
        <v>1349</v>
      </c>
      <c r="E2475" s="2" t="s">
        <v>261</v>
      </c>
      <c r="F2475" s="3">
        <v>0.18</v>
      </c>
      <c r="G2475" t="s">
        <v>57</v>
      </c>
      <c r="H2475" s="1" t="s">
        <v>69</v>
      </c>
      <c r="I2475">
        <f>-35085/624225002/1</f>
        <v>-5.62056948817952E-05</v>
      </c>
      <c r="J2475" t="s">
        <v>1322</v>
      </c>
      <c r="K2475" t="s">
        <v>1303</v>
      </c>
      <c r="L2475" t="s">
        <v>1323</v>
      </c>
      <c r="N2475" t="s">
        <v>58</v>
      </c>
    </row>
    <row r="2476" spans="1:14" ht="15">
      <c r="A2476" s="4">
        <v>201407</v>
      </c>
      <c r="B2476" t="s">
        <v>1321</v>
      </c>
      <c r="C2476" s="5">
        <v>6585477</v>
      </c>
      <c r="D2476" s="2" t="s">
        <v>1349</v>
      </c>
      <c r="E2476" s="2" t="s">
        <v>261</v>
      </c>
      <c r="F2476" s="3">
        <v>0.18</v>
      </c>
      <c r="G2476" t="s">
        <v>57</v>
      </c>
      <c r="H2476" s="1" t="s">
        <v>69</v>
      </c>
      <c r="I2476">
        <f>-35085/624414001/1</f>
        <v>-5.618868241873391E-05</v>
      </c>
      <c r="J2476" t="s">
        <v>1322</v>
      </c>
      <c r="K2476" t="s">
        <v>1303</v>
      </c>
      <c r="L2476" t="s">
        <v>1323</v>
      </c>
      <c r="N2476" t="s">
        <v>58</v>
      </c>
    </row>
    <row r="2477" spans="1:14" ht="15">
      <c r="A2477" s="4">
        <v>201407</v>
      </c>
      <c r="B2477" t="s">
        <v>1321</v>
      </c>
      <c r="C2477" s="5">
        <v>6585477</v>
      </c>
      <c r="D2477" s="2" t="s">
        <v>1349</v>
      </c>
      <c r="E2477" s="2" t="s">
        <v>261</v>
      </c>
      <c r="F2477" s="3">
        <v>0.9</v>
      </c>
      <c r="G2477" t="s">
        <v>57</v>
      </c>
      <c r="H2477" s="1" t="s">
        <v>69</v>
      </c>
      <c r="I2477">
        <f>-58256/1030034/1</f>
        <v>-0.056557356359110474</v>
      </c>
      <c r="J2477" t="s">
        <v>1322</v>
      </c>
      <c r="K2477" t="s">
        <v>1303</v>
      </c>
      <c r="L2477" t="s">
        <v>1323</v>
      </c>
      <c r="N2477" t="s">
        <v>58</v>
      </c>
    </row>
    <row r="2478" spans="1:12" ht="15">
      <c r="A2478" s="4">
        <v>201407</v>
      </c>
      <c r="B2478" t="s">
        <v>1321</v>
      </c>
      <c r="C2478" s="5">
        <v>6585477</v>
      </c>
      <c r="D2478" s="2" t="s">
        <v>1349</v>
      </c>
      <c r="E2478" s="2" t="s">
        <v>261</v>
      </c>
      <c r="F2478" s="3">
        <v>3</v>
      </c>
      <c r="G2478" t="s">
        <v>111</v>
      </c>
      <c r="H2478" s="1" t="s">
        <v>69</v>
      </c>
      <c r="I2478" t="e">
        <f>-freight</f>
        <v>#NAME?</v>
      </c>
      <c r="J2478" t="s">
        <v>1322</v>
      </c>
      <c r="K2478" t="s">
        <v>1303</v>
      </c>
      <c r="L2478" t="s">
        <v>1323</v>
      </c>
    </row>
    <row r="2479" spans="1:12" ht="15">
      <c r="A2479" s="4">
        <v>201407</v>
      </c>
      <c r="B2479" t="s">
        <v>1321</v>
      </c>
      <c r="C2479" s="5">
        <v>6585477</v>
      </c>
      <c r="D2479" s="2" t="s">
        <v>1349</v>
      </c>
      <c r="E2479" s="2" t="s">
        <v>261</v>
      </c>
      <c r="F2479" s="3">
        <v>3</v>
      </c>
      <c r="G2479" t="s">
        <v>111</v>
      </c>
      <c r="H2479" s="1" t="s">
        <v>69</v>
      </c>
      <c r="I2479" t="e">
        <f>-freight</f>
        <v>#NAME?</v>
      </c>
      <c r="J2479" t="s">
        <v>1322</v>
      </c>
      <c r="K2479" t="s">
        <v>1303</v>
      </c>
      <c r="L2479" t="s">
        <v>1323</v>
      </c>
    </row>
    <row r="2480" spans="1:12" ht="15">
      <c r="A2480" s="4">
        <v>201407</v>
      </c>
      <c r="B2480" t="s">
        <v>1321</v>
      </c>
      <c r="C2480" s="5">
        <v>6585477</v>
      </c>
      <c r="D2480" s="2" t="s">
        <v>1349</v>
      </c>
      <c r="E2480" s="2" t="s">
        <v>261</v>
      </c>
      <c r="F2480" s="3">
        <v>3</v>
      </c>
      <c r="G2480" t="s">
        <v>111</v>
      </c>
      <c r="H2480" s="1" t="s">
        <v>69</v>
      </c>
      <c r="I2480" t="e">
        <f>-freight</f>
        <v>#NAME?</v>
      </c>
      <c r="J2480" t="s">
        <v>1322</v>
      </c>
      <c r="K2480" t="s">
        <v>1303</v>
      </c>
      <c r="L2480" t="s">
        <v>1323</v>
      </c>
    </row>
    <row r="2481" spans="1:12" ht="15">
      <c r="A2481" s="4">
        <v>201407</v>
      </c>
      <c r="B2481" t="s">
        <v>1321</v>
      </c>
      <c r="C2481" s="5">
        <v>6585477</v>
      </c>
      <c r="D2481" s="2" t="s">
        <v>1349</v>
      </c>
      <c r="E2481" s="2" t="s">
        <v>261</v>
      </c>
      <c r="F2481" s="3">
        <v>3</v>
      </c>
      <c r="G2481" t="s">
        <v>111</v>
      </c>
      <c r="H2481" s="1" t="s">
        <v>69</v>
      </c>
      <c r="I2481" t="e">
        <f>-freight</f>
        <v>#NAME?</v>
      </c>
      <c r="J2481" t="s">
        <v>1322</v>
      </c>
      <c r="K2481" t="s">
        <v>1303</v>
      </c>
      <c r="L2481" t="s">
        <v>1323</v>
      </c>
    </row>
    <row r="2482" spans="1:12" ht="15">
      <c r="A2482" s="4">
        <v>201407</v>
      </c>
      <c r="B2482" t="s">
        <v>1321</v>
      </c>
      <c r="C2482" s="5">
        <v>6585477</v>
      </c>
      <c r="D2482" s="2" t="s">
        <v>1349</v>
      </c>
      <c r="E2482" s="2" t="s">
        <v>261</v>
      </c>
      <c r="F2482" s="3">
        <v>3</v>
      </c>
      <c r="G2482" t="s">
        <v>111</v>
      </c>
      <c r="H2482" s="1" t="s">
        <v>69</v>
      </c>
      <c r="I2482" t="e">
        <f>-freight</f>
        <v>#NAME?</v>
      </c>
      <c r="J2482" t="s">
        <v>1322</v>
      </c>
      <c r="K2482" t="s">
        <v>1303</v>
      </c>
      <c r="L2482" t="s">
        <v>1323</v>
      </c>
    </row>
    <row r="2483" spans="1:14" ht="15">
      <c r="A2483" s="4">
        <v>201407</v>
      </c>
      <c r="B2483" t="s">
        <v>1321</v>
      </c>
      <c r="C2483" s="5">
        <v>6585477</v>
      </c>
      <c r="D2483" s="2" t="s">
        <v>1349</v>
      </c>
      <c r="E2483" s="2" t="s">
        <v>261</v>
      </c>
      <c r="F2483" s="3">
        <v>6</v>
      </c>
      <c r="G2483" t="s">
        <v>57</v>
      </c>
      <c r="H2483" s="1" t="s">
        <v>69</v>
      </c>
      <c r="I2483">
        <f>-72132/3017655/1</f>
        <v>-0.023903328909368367</v>
      </c>
      <c r="J2483" t="s">
        <v>1322</v>
      </c>
      <c r="K2483" t="s">
        <v>1303</v>
      </c>
      <c r="L2483" t="s">
        <v>1323</v>
      </c>
      <c r="N2483" t="s">
        <v>58</v>
      </c>
    </row>
    <row r="2484" spans="1:14" ht="15">
      <c r="A2484" s="4">
        <v>201407</v>
      </c>
      <c r="B2484" t="s">
        <v>1321</v>
      </c>
      <c r="C2484" s="5">
        <v>6585477</v>
      </c>
      <c r="D2484" s="2" t="s">
        <v>1349</v>
      </c>
      <c r="E2484" s="2" t="s">
        <v>261</v>
      </c>
      <c r="F2484" s="3">
        <v>10.5</v>
      </c>
      <c r="G2484" t="s">
        <v>57</v>
      </c>
      <c r="H2484" s="1" t="s">
        <v>69</v>
      </c>
      <c r="I2484">
        <f>-65289/63036/1</f>
        <v>-1.0357414810584429</v>
      </c>
      <c r="J2484" t="s">
        <v>1322</v>
      </c>
      <c r="K2484" t="s">
        <v>1303</v>
      </c>
      <c r="L2484" t="s">
        <v>1323</v>
      </c>
      <c r="N2484" t="s">
        <v>58</v>
      </c>
    </row>
    <row r="2485" spans="1:14" ht="15">
      <c r="A2485" s="4">
        <v>201407</v>
      </c>
      <c r="B2485" t="s">
        <v>1321</v>
      </c>
      <c r="C2485" s="5">
        <v>6585477</v>
      </c>
      <c r="D2485" s="2" t="s">
        <v>1349</v>
      </c>
      <c r="E2485" s="2" t="s">
        <v>261</v>
      </c>
      <c r="F2485" s="3">
        <v>12.57</v>
      </c>
      <c r="G2485" t="s">
        <v>57</v>
      </c>
      <c r="H2485" s="1" t="s">
        <v>69</v>
      </c>
      <c r="I2485">
        <f>-35085/623755001/1</f>
        <v>-5.624804601767033E-05</v>
      </c>
      <c r="J2485" t="s">
        <v>1322</v>
      </c>
      <c r="K2485" t="s">
        <v>1303</v>
      </c>
      <c r="L2485" t="s">
        <v>1323</v>
      </c>
      <c r="N2485" t="s">
        <v>58</v>
      </c>
    </row>
    <row r="2486" spans="1:14" ht="15">
      <c r="A2486" s="4">
        <v>201407</v>
      </c>
      <c r="B2486" t="s">
        <v>1321</v>
      </c>
      <c r="C2486" s="5">
        <v>6585477</v>
      </c>
      <c r="D2486" s="2" t="s">
        <v>1349</v>
      </c>
      <c r="E2486" s="2" t="s">
        <v>261</v>
      </c>
      <c r="F2486" s="3">
        <v>13.5</v>
      </c>
      <c r="G2486" t="s">
        <v>57</v>
      </c>
      <c r="H2486" s="1" t="s">
        <v>69</v>
      </c>
      <c r="I2486">
        <f>-65289/62712/1</f>
        <v>-1.041092613853808</v>
      </c>
      <c r="J2486" t="s">
        <v>1322</v>
      </c>
      <c r="K2486" t="s">
        <v>1303</v>
      </c>
      <c r="L2486" t="s">
        <v>1323</v>
      </c>
      <c r="N2486" t="s">
        <v>58</v>
      </c>
    </row>
    <row r="2487" spans="1:12" ht="15">
      <c r="A2487" s="4">
        <v>201407</v>
      </c>
      <c r="B2487" t="s">
        <v>1321</v>
      </c>
      <c r="C2487" s="5">
        <v>6585477</v>
      </c>
      <c r="D2487" s="2" t="s">
        <v>1349</v>
      </c>
      <c r="E2487" s="2" t="s">
        <v>261</v>
      </c>
      <c r="F2487" s="3">
        <v>15</v>
      </c>
      <c r="G2487" t="s">
        <v>1375</v>
      </c>
      <c r="H2487" s="1" t="s">
        <v>69</v>
      </c>
      <c r="I2487" t="e">
        <f>-freight</f>
        <v>#NAME?</v>
      </c>
      <c r="J2487" t="s">
        <v>1322</v>
      </c>
      <c r="K2487" t="s">
        <v>1303</v>
      </c>
      <c r="L2487" t="s">
        <v>1323</v>
      </c>
    </row>
    <row r="2488" spans="1:14" ht="15">
      <c r="A2488" s="4">
        <v>201407</v>
      </c>
      <c r="B2488" t="s">
        <v>1321</v>
      </c>
      <c r="C2488" s="5">
        <v>6585477</v>
      </c>
      <c r="D2488" s="2" t="s">
        <v>1349</v>
      </c>
      <c r="E2488" s="2" t="s">
        <v>261</v>
      </c>
      <c r="F2488" s="3">
        <v>59</v>
      </c>
      <c r="G2488" t="s">
        <v>57</v>
      </c>
      <c r="H2488" s="1" t="s">
        <v>69</v>
      </c>
      <c r="I2488">
        <f>-69671/50306410/1</f>
        <v>-0.0013849328544811685</v>
      </c>
      <c r="J2488" t="s">
        <v>1322</v>
      </c>
      <c r="K2488" t="s">
        <v>1303</v>
      </c>
      <c r="L2488" t="s">
        <v>1323</v>
      </c>
      <c r="N2488" t="s">
        <v>58</v>
      </c>
    </row>
    <row r="2489" spans="1:14" ht="15">
      <c r="A2489" s="4">
        <v>201407</v>
      </c>
      <c r="B2489" t="s">
        <v>1321</v>
      </c>
      <c r="C2489" s="5">
        <v>6585477</v>
      </c>
      <c r="D2489" s="2" t="s">
        <v>1349</v>
      </c>
      <c r="E2489" s="2" t="s">
        <v>261</v>
      </c>
      <c r="F2489" s="3">
        <v>96</v>
      </c>
      <c r="G2489" t="s">
        <v>57</v>
      </c>
      <c r="H2489" s="1" t="s">
        <v>69</v>
      </c>
      <c r="I2489">
        <f>-69671/50306032/1</f>
        <v>-0.001384943260879729</v>
      </c>
      <c r="J2489" t="s">
        <v>1322</v>
      </c>
      <c r="K2489" t="s">
        <v>1303</v>
      </c>
      <c r="L2489" t="s">
        <v>1323</v>
      </c>
      <c r="N2489" t="s">
        <v>58</v>
      </c>
    </row>
    <row r="2490" spans="1:13" ht="15">
      <c r="A2490" s="4">
        <v>201407</v>
      </c>
      <c r="B2490" t="s">
        <v>1321</v>
      </c>
      <c r="C2490" s="5">
        <v>6585477</v>
      </c>
      <c r="D2490" s="2" t="s">
        <v>1349</v>
      </c>
      <c r="E2490" s="2" t="s">
        <v>261</v>
      </c>
      <c r="F2490" s="3">
        <v>98</v>
      </c>
      <c r="G2490" t="s">
        <v>1393</v>
      </c>
      <c r="H2490" s="1" t="s">
        <v>69</v>
      </c>
      <c r="I2490" t="e">
        <f>-EXPEDITE FEE</f>
        <v>#NAME?</v>
      </c>
      <c r="J2490" t="s">
        <v>1322</v>
      </c>
      <c r="K2490" t="s">
        <v>1303</v>
      </c>
      <c r="L2490" t="s">
        <v>1323</v>
      </c>
      <c r="M2490">
        <v>909134</v>
      </c>
    </row>
    <row r="2491" spans="1:12" ht="15">
      <c r="A2491" s="4">
        <v>201407</v>
      </c>
      <c r="B2491" t="s">
        <v>1321</v>
      </c>
      <c r="C2491" s="5">
        <v>6585477</v>
      </c>
      <c r="D2491" s="2" t="s">
        <v>1349</v>
      </c>
      <c r="E2491" s="2" t="s">
        <v>261</v>
      </c>
      <c r="F2491" s="3">
        <v>175</v>
      </c>
      <c r="G2491" t="s">
        <v>282</v>
      </c>
      <c r="H2491" s="1" t="s">
        <v>69</v>
      </c>
      <c r="I2491" t="e">
        <f>-freight FOR MATERIAL from mill Creek TO Trimble</f>
        <v>#NAME?</v>
      </c>
      <c r="J2491" t="s">
        <v>1322</v>
      </c>
      <c r="K2491" t="s">
        <v>1303</v>
      </c>
      <c r="L2491" t="s">
        <v>1323</v>
      </c>
    </row>
    <row r="2492" spans="1:13" ht="15">
      <c r="A2492" s="4">
        <v>201407</v>
      </c>
      <c r="B2492" t="s">
        <v>1321</v>
      </c>
      <c r="C2492" s="5">
        <v>6585477</v>
      </c>
      <c r="D2492" s="2" t="s">
        <v>1349</v>
      </c>
      <c r="E2492" s="2" t="s">
        <v>261</v>
      </c>
      <c r="F2492" s="3">
        <v>206.58</v>
      </c>
      <c r="G2492" t="s">
        <v>111</v>
      </c>
      <c r="H2492" s="1" t="s">
        <v>69</v>
      </c>
      <c r="I2492" t="e">
        <f>-EXPEDITE FEE</f>
        <v>#NAME?</v>
      </c>
      <c r="J2492" t="s">
        <v>1322</v>
      </c>
      <c r="K2492" t="s">
        <v>1303</v>
      </c>
      <c r="L2492" t="s">
        <v>1323</v>
      </c>
      <c r="M2492">
        <v>908279</v>
      </c>
    </row>
    <row r="2493" spans="1:12" ht="15">
      <c r="A2493" s="4">
        <v>201407</v>
      </c>
      <c r="B2493" t="s">
        <v>1321</v>
      </c>
      <c r="C2493" s="5">
        <v>6585477</v>
      </c>
      <c r="D2493" s="2" t="s">
        <v>1349</v>
      </c>
      <c r="E2493" s="2" t="s">
        <v>261</v>
      </c>
      <c r="F2493" s="3">
        <v>225</v>
      </c>
      <c r="G2493" t="s">
        <v>282</v>
      </c>
      <c r="H2493" s="1" t="s">
        <v>69</v>
      </c>
      <c r="I2493" t="e">
        <f>-freight from Cane Run TO Trimble</f>
        <v>#NAME?</v>
      </c>
      <c r="J2493" t="s">
        <v>1322</v>
      </c>
      <c r="K2493" t="s">
        <v>1303</v>
      </c>
      <c r="L2493" t="s">
        <v>1323</v>
      </c>
    </row>
    <row r="2494" spans="1:12" ht="15">
      <c r="A2494" s="4">
        <v>201407</v>
      </c>
      <c r="B2494" t="s">
        <v>1321</v>
      </c>
      <c r="C2494" s="5">
        <v>6585477</v>
      </c>
      <c r="D2494" s="2" t="s">
        <v>1349</v>
      </c>
      <c r="E2494" s="2" t="s">
        <v>261</v>
      </c>
      <c r="F2494" s="3">
        <v>983.33</v>
      </c>
      <c r="G2494" t="s">
        <v>1379</v>
      </c>
      <c r="H2494" s="1" t="s">
        <v>69</v>
      </c>
      <c r="I2494" t="e">
        <f>-freight</f>
        <v>#NAME?</v>
      </c>
      <c r="J2494" t="s">
        <v>1322</v>
      </c>
      <c r="K2494" t="s">
        <v>1303</v>
      </c>
      <c r="L2494" t="s">
        <v>1323</v>
      </c>
    </row>
    <row r="2495" spans="1:12" ht="15">
      <c r="A2495" s="4">
        <v>201407</v>
      </c>
      <c r="B2495" t="s">
        <v>1321</v>
      </c>
      <c r="C2495" s="5">
        <v>6585477</v>
      </c>
      <c r="D2495" s="2" t="s">
        <v>1349</v>
      </c>
      <c r="E2495" s="2" t="s">
        <v>261</v>
      </c>
      <c r="F2495" s="3">
        <v>1600</v>
      </c>
      <c r="G2495" t="s">
        <v>1379</v>
      </c>
      <c r="H2495" s="1" t="s">
        <v>69</v>
      </c>
      <c r="I2495" t="e">
        <f>-freight</f>
        <v>#NAME?</v>
      </c>
      <c r="J2495" t="s">
        <v>1322</v>
      </c>
      <c r="K2495" t="s">
        <v>1303</v>
      </c>
      <c r="L2495" t="s">
        <v>1323</v>
      </c>
    </row>
    <row r="2496" spans="1:14" ht="15">
      <c r="A2496" s="4">
        <v>201408</v>
      </c>
      <c r="B2496" t="s">
        <v>1321</v>
      </c>
      <c r="C2496" s="5">
        <v>6585477</v>
      </c>
      <c r="D2496" s="2" t="s">
        <v>1349</v>
      </c>
      <c r="E2496" s="2" t="s">
        <v>261</v>
      </c>
      <c r="F2496" s="3">
        <v>0.18</v>
      </c>
      <c r="G2496" t="s">
        <v>57</v>
      </c>
      <c r="H2496" s="1" t="s">
        <v>69</v>
      </c>
      <c r="I2496">
        <f>-35085/623816001/1</f>
        <v>-5.6242545788754145E-05</v>
      </c>
      <c r="J2496" t="s">
        <v>1322</v>
      </c>
      <c r="K2496" t="s">
        <v>1303</v>
      </c>
      <c r="L2496" t="s">
        <v>1323</v>
      </c>
      <c r="N2496" t="s">
        <v>58</v>
      </c>
    </row>
    <row r="2497" spans="1:14" ht="15">
      <c r="A2497" s="4">
        <v>201408</v>
      </c>
      <c r="B2497" t="s">
        <v>1321</v>
      </c>
      <c r="C2497" s="5">
        <v>6585477</v>
      </c>
      <c r="D2497" s="2" t="s">
        <v>1349</v>
      </c>
      <c r="E2497" s="2" t="s">
        <v>261</v>
      </c>
      <c r="F2497" s="3">
        <v>0.18</v>
      </c>
      <c r="G2497" t="s">
        <v>57</v>
      </c>
      <c r="H2497" s="1" t="s">
        <v>69</v>
      </c>
      <c r="I2497">
        <f>-35085/624801001/1</f>
        <v>-5.615387930532461E-05</v>
      </c>
      <c r="J2497" t="s">
        <v>1322</v>
      </c>
      <c r="K2497" t="s">
        <v>1303</v>
      </c>
      <c r="L2497" t="s">
        <v>1323</v>
      </c>
      <c r="N2497" t="s">
        <v>58</v>
      </c>
    </row>
    <row r="2498" spans="1:12" ht="15">
      <c r="A2498" s="4">
        <v>201408</v>
      </c>
      <c r="B2498" t="s">
        <v>1321</v>
      </c>
      <c r="C2498" s="5">
        <v>6585477</v>
      </c>
      <c r="D2498" s="2" t="s">
        <v>1349</v>
      </c>
      <c r="E2498" s="2" t="s">
        <v>261</v>
      </c>
      <c r="F2498" s="3">
        <v>3</v>
      </c>
      <c r="G2498" t="s">
        <v>111</v>
      </c>
      <c r="H2498" s="1" t="s">
        <v>69</v>
      </c>
      <c r="I2498" t="e">
        <f>-freight</f>
        <v>#NAME?</v>
      </c>
      <c r="J2498" t="s">
        <v>1322</v>
      </c>
      <c r="K2498" t="s">
        <v>1303</v>
      </c>
      <c r="L2498" t="s">
        <v>1323</v>
      </c>
    </row>
    <row r="2499" spans="1:12" ht="15">
      <c r="A2499" s="4">
        <v>201408</v>
      </c>
      <c r="B2499" t="s">
        <v>1321</v>
      </c>
      <c r="C2499" s="5">
        <v>6585477</v>
      </c>
      <c r="D2499" s="2" t="s">
        <v>1349</v>
      </c>
      <c r="E2499" s="2" t="s">
        <v>261</v>
      </c>
      <c r="F2499" s="3">
        <v>3</v>
      </c>
      <c r="G2499" t="s">
        <v>111</v>
      </c>
      <c r="H2499" s="1" t="s">
        <v>69</v>
      </c>
      <c r="I2499" t="e">
        <f>-freight</f>
        <v>#NAME?</v>
      </c>
      <c r="J2499" t="s">
        <v>1322</v>
      </c>
      <c r="K2499" t="s">
        <v>1303</v>
      </c>
      <c r="L2499" t="s">
        <v>1323</v>
      </c>
    </row>
    <row r="2500" spans="1:13" ht="15">
      <c r="A2500" s="4">
        <v>201408</v>
      </c>
      <c r="B2500" t="s">
        <v>1321</v>
      </c>
      <c r="C2500" s="5">
        <v>6585477</v>
      </c>
      <c r="D2500" s="2" t="s">
        <v>1349</v>
      </c>
      <c r="E2500" s="2" t="s">
        <v>261</v>
      </c>
      <c r="F2500" s="3">
        <v>2375</v>
      </c>
      <c r="G2500" t="s">
        <v>1364</v>
      </c>
      <c r="H2500" s="1" t="s">
        <v>69</v>
      </c>
      <c r="I2500" t="e">
        <f>-HOTSHOT freight</f>
        <v>#NAME?</v>
      </c>
      <c r="J2500" t="s">
        <v>1322</v>
      </c>
      <c r="K2500" t="s">
        <v>1303</v>
      </c>
      <c r="L2500" t="s">
        <v>1323</v>
      </c>
      <c r="M2500">
        <v>911101</v>
      </c>
    </row>
    <row r="2501" spans="1:12" ht="15">
      <c r="A2501" s="4">
        <v>201410</v>
      </c>
      <c r="B2501" t="s">
        <v>1321</v>
      </c>
      <c r="C2501" s="5">
        <v>6585477</v>
      </c>
      <c r="D2501" s="2" t="s">
        <v>1349</v>
      </c>
      <c r="E2501" s="2" t="s">
        <v>261</v>
      </c>
      <c r="F2501" s="3">
        <v>3</v>
      </c>
      <c r="G2501" t="s">
        <v>111</v>
      </c>
      <c r="H2501" s="1" t="s">
        <v>69</v>
      </c>
      <c r="I2501" t="e">
        <f>-freight</f>
        <v>#NAME?</v>
      </c>
      <c r="J2501" t="s">
        <v>1322</v>
      </c>
      <c r="K2501" t="s">
        <v>1303</v>
      </c>
      <c r="L2501" t="s">
        <v>1323</v>
      </c>
    </row>
    <row r="2502" spans="1:14" ht="15">
      <c r="A2502" s="4">
        <v>201410</v>
      </c>
      <c r="B2502" t="s">
        <v>1321</v>
      </c>
      <c r="C2502" s="5">
        <v>6585477</v>
      </c>
      <c r="D2502" s="2" t="s">
        <v>1349</v>
      </c>
      <c r="E2502" s="2" t="s">
        <v>261</v>
      </c>
      <c r="F2502" s="3">
        <v>5.58</v>
      </c>
      <c r="G2502" t="s">
        <v>57</v>
      </c>
      <c r="H2502" s="1" t="s">
        <v>69</v>
      </c>
      <c r="I2502">
        <f>-35085/627076001/1</f>
        <v>-5.5950155872732884E-05</v>
      </c>
      <c r="J2502" t="s">
        <v>1322</v>
      </c>
      <c r="K2502" t="s">
        <v>1303</v>
      </c>
      <c r="L2502" t="s">
        <v>1323</v>
      </c>
      <c r="N2502" t="s">
        <v>58</v>
      </c>
    </row>
    <row r="2503" spans="1:14" ht="15">
      <c r="A2503" s="4">
        <v>201410</v>
      </c>
      <c r="B2503" t="s">
        <v>1321</v>
      </c>
      <c r="C2503" s="5">
        <v>6585477</v>
      </c>
      <c r="D2503" s="2" t="s">
        <v>1349</v>
      </c>
      <c r="E2503" s="2" t="s">
        <v>261</v>
      </c>
      <c r="F2503" s="3">
        <v>8.56</v>
      </c>
      <c r="G2503" t="s">
        <v>57</v>
      </c>
      <c r="H2503" s="1" t="s">
        <v>69</v>
      </c>
      <c r="I2503" t="e">
        <f>-16294/KY67762287/1</f>
        <v>#NAME?</v>
      </c>
      <c r="J2503" t="s">
        <v>1322</v>
      </c>
      <c r="K2503" t="s">
        <v>1303</v>
      </c>
      <c r="L2503" t="s">
        <v>1323</v>
      </c>
      <c r="N2503" t="s">
        <v>58</v>
      </c>
    </row>
    <row r="2504" spans="1:14" ht="15">
      <c r="A2504" s="4">
        <v>201410</v>
      </c>
      <c r="B2504" t="s">
        <v>1321</v>
      </c>
      <c r="C2504" s="5">
        <v>6585477</v>
      </c>
      <c r="D2504" s="2" t="s">
        <v>1349</v>
      </c>
      <c r="E2504" s="2" t="s">
        <v>261</v>
      </c>
      <c r="F2504" s="3">
        <v>11.68</v>
      </c>
      <c r="G2504" t="s">
        <v>57</v>
      </c>
      <c r="H2504" s="1" t="s">
        <v>69</v>
      </c>
      <c r="I2504">
        <f>-59927/2963115774/1</f>
        <v>-2.0224319456510037E-05</v>
      </c>
      <c r="J2504" t="s">
        <v>1322</v>
      </c>
      <c r="K2504" t="s">
        <v>1303</v>
      </c>
      <c r="L2504" t="s">
        <v>1323</v>
      </c>
      <c r="N2504" t="s">
        <v>58</v>
      </c>
    </row>
    <row r="2505" spans="1:13" ht="15">
      <c r="A2505" s="4">
        <v>201410</v>
      </c>
      <c r="B2505" t="s">
        <v>1321</v>
      </c>
      <c r="C2505" s="5">
        <v>6585477</v>
      </c>
      <c r="D2505" s="2" t="s">
        <v>1349</v>
      </c>
      <c r="E2505" s="2" t="s">
        <v>261</v>
      </c>
      <c r="F2505" s="3">
        <v>90</v>
      </c>
      <c r="G2505" t="s">
        <v>111</v>
      </c>
      <c r="H2505" s="1" t="s">
        <v>69</v>
      </c>
      <c r="I2505" t="e">
        <f>-EXPEDITE air freight from GERMANY</f>
        <v>#NAME?</v>
      </c>
      <c r="J2505" t="s">
        <v>1322</v>
      </c>
      <c r="K2505" t="s">
        <v>1303</v>
      </c>
      <c r="L2505" t="s">
        <v>1323</v>
      </c>
      <c r="M2505">
        <v>910866</v>
      </c>
    </row>
    <row r="2506" spans="1:12" ht="15">
      <c r="A2506" s="4">
        <v>201410</v>
      </c>
      <c r="B2506" t="s">
        <v>1321</v>
      </c>
      <c r="C2506" s="5">
        <v>6585477</v>
      </c>
      <c r="D2506" s="2" t="s">
        <v>1349</v>
      </c>
      <c r="E2506" s="2" t="s">
        <v>261</v>
      </c>
      <c r="F2506" s="3">
        <v>142.6</v>
      </c>
      <c r="G2506" t="s">
        <v>96</v>
      </c>
      <c r="H2506" s="1" t="s">
        <v>69</v>
      </c>
      <c r="I2506" t="e">
        <f>-freight</f>
        <v>#NAME?</v>
      </c>
      <c r="J2506" t="s">
        <v>1322</v>
      </c>
      <c r="K2506" t="s">
        <v>1303</v>
      </c>
      <c r="L2506" t="s">
        <v>1323</v>
      </c>
    </row>
    <row r="2507" spans="1:12" ht="15">
      <c r="A2507" s="4">
        <v>201410</v>
      </c>
      <c r="B2507" t="s">
        <v>1321</v>
      </c>
      <c r="C2507" s="5">
        <v>6585477</v>
      </c>
      <c r="D2507" s="2" t="s">
        <v>1349</v>
      </c>
      <c r="E2507" s="2" t="s">
        <v>261</v>
      </c>
      <c r="F2507" s="3">
        <v>194.65</v>
      </c>
      <c r="G2507" t="s">
        <v>1394</v>
      </c>
      <c r="H2507" s="1" t="s">
        <v>69</v>
      </c>
      <c r="I2507" t="e">
        <f>-freight</f>
        <v>#NAME?</v>
      </c>
      <c r="J2507" t="s">
        <v>1322</v>
      </c>
      <c r="K2507" t="s">
        <v>1303</v>
      </c>
      <c r="L2507" t="s">
        <v>1323</v>
      </c>
    </row>
    <row r="2508" spans="1:14" ht="15">
      <c r="A2508" s="4">
        <v>201411</v>
      </c>
      <c r="B2508" t="s">
        <v>1321</v>
      </c>
      <c r="C2508" s="5">
        <v>6585477</v>
      </c>
      <c r="D2508" s="2" t="s">
        <v>1349</v>
      </c>
      <c r="E2508" s="2" t="s">
        <v>261</v>
      </c>
      <c r="F2508" s="3">
        <v>1.31</v>
      </c>
      <c r="G2508" t="s">
        <v>57</v>
      </c>
      <c r="H2508" s="1" t="s">
        <v>69</v>
      </c>
      <c r="I2508">
        <f>-35085/625876001/1</f>
        <v>-5.605742981667706E-05</v>
      </c>
      <c r="J2508" t="s">
        <v>1322</v>
      </c>
      <c r="K2508" t="s">
        <v>1303</v>
      </c>
      <c r="L2508" t="s">
        <v>1323</v>
      </c>
      <c r="N2508" t="s">
        <v>58</v>
      </c>
    </row>
    <row r="2509" spans="1:12" ht="15">
      <c r="A2509" s="4">
        <v>201411</v>
      </c>
      <c r="B2509" t="s">
        <v>1321</v>
      </c>
      <c r="C2509" s="5">
        <v>6585477</v>
      </c>
      <c r="D2509" s="2" t="s">
        <v>1349</v>
      </c>
      <c r="E2509" s="2" t="s">
        <v>261</v>
      </c>
      <c r="F2509" s="3">
        <v>21.9</v>
      </c>
      <c r="G2509" t="s">
        <v>111</v>
      </c>
      <c r="H2509" s="1" t="s">
        <v>69</v>
      </c>
      <c r="I2509" t="e">
        <f>-freight</f>
        <v>#NAME?</v>
      </c>
      <c r="J2509" t="s">
        <v>1322</v>
      </c>
      <c r="K2509" t="s">
        <v>1303</v>
      </c>
      <c r="L2509" t="s">
        <v>1323</v>
      </c>
    </row>
    <row r="2510" spans="1:14" ht="15">
      <c r="A2510" s="4">
        <v>201409</v>
      </c>
      <c r="B2510" t="s">
        <v>1321</v>
      </c>
      <c r="C2510" s="5">
        <v>6585477</v>
      </c>
      <c r="D2510" s="2" t="s">
        <v>1349</v>
      </c>
      <c r="E2510" s="2" t="s">
        <v>261</v>
      </c>
      <c r="F2510" s="3">
        <v>25</v>
      </c>
      <c r="G2510" t="s">
        <v>1390</v>
      </c>
      <c r="H2510" s="1" t="s">
        <v>1395</v>
      </c>
      <c r="I2510" t="e">
        <f>-Miscellaneous</f>
        <v>#NAME?</v>
      </c>
      <c r="J2510" t="s">
        <v>1322</v>
      </c>
      <c r="K2510" t="s">
        <v>1303</v>
      </c>
      <c r="L2510" t="s">
        <v>1323</v>
      </c>
      <c r="N2510" t="s">
        <v>82</v>
      </c>
    </row>
    <row r="2511" spans="1:12" ht="15">
      <c r="A2511" s="4">
        <v>201410</v>
      </c>
      <c r="B2511" t="s">
        <v>1321</v>
      </c>
      <c r="C2511" s="5">
        <v>6600925</v>
      </c>
      <c r="D2511" s="2" t="s">
        <v>1396</v>
      </c>
      <c r="E2511" s="2" t="s">
        <v>1176</v>
      </c>
      <c r="F2511" s="3">
        <v>410</v>
      </c>
      <c r="H2511" s="1" t="s">
        <v>14</v>
      </c>
      <c r="I2511" t="s">
        <v>1359</v>
      </c>
      <c r="J2511" t="s">
        <v>1322</v>
      </c>
      <c r="K2511" t="s">
        <v>1303</v>
      </c>
      <c r="L2511" t="s">
        <v>1323</v>
      </c>
    </row>
    <row r="2512" spans="1:12" ht="15">
      <c r="A2512" s="4">
        <v>201410</v>
      </c>
      <c r="B2512" t="s">
        <v>1321</v>
      </c>
      <c r="C2512" s="5">
        <v>6600925</v>
      </c>
      <c r="D2512" s="2" t="s">
        <v>1396</v>
      </c>
      <c r="E2512" s="2" t="s">
        <v>1176</v>
      </c>
      <c r="F2512" s="3">
        <v>748.77</v>
      </c>
      <c r="H2512" s="1" t="s">
        <v>14</v>
      </c>
      <c r="I2512" t="s">
        <v>1351</v>
      </c>
      <c r="J2512" t="s">
        <v>1322</v>
      </c>
      <c r="K2512" t="s">
        <v>1303</v>
      </c>
      <c r="L2512" t="s">
        <v>1323</v>
      </c>
    </row>
    <row r="2513" spans="1:12" ht="15">
      <c r="A2513" s="4">
        <v>201410</v>
      </c>
      <c r="B2513" t="s">
        <v>1321</v>
      </c>
      <c r="C2513" s="5">
        <v>6600925</v>
      </c>
      <c r="D2513" s="2" t="s">
        <v>1396</v>
      </c>
      <c r="E2513" s="2" t="s">
        <v>1176</v>
      </c>
      <c r="F2513" s="3">
        <v>0.84</v>
      </c>
      <c r="H2513" s="1" t="s">
        <v>66</v>
      </c>
      <c r="I2513" t="s">
        <v>67</v>
      </c>
      <c r="J2513" t="s">
        <v>1322</v>
      </c>
      <c r="K2513" t="s">
        <v>1303</v>
      </c>
      <c r="L2513" t="s">
        <v>1323</v>
      </c>
    </row>
    <row r="2514" spans="1:12" ht="15">
      <c r="A2514" s="4">
        <v>201409</v>
      </c>
      <c r="B2514" t="s">
        <v>1321</v>
      </c>
      <c r="C2514" s="5">
        <v>6607460</v>
      </c>
      <c r="D2514" s="2" t="s">
        <v>1398</v>
      </c>
      <c r="E2514" s="2" t="s">
        <v>238</v>
      </c>
      <c r="F2514" s="3">
        <v>2</v>
      </c>
      <c r="H2514" s="1" t="s">
        <v>14</v>
      </c>
      <c r="I2514" t="s">
        <v>1397</v>
      </c>
      <c r="J2514" t="s">
        <v>1322</v>
      </c>
      <c r="K2514" t="s">
        <v>1303</v>
      </c>
      <c r="L2514" t="s">
        <v>1323</v>
      </c>
    </row>
    <row r="2515" spans="1:12" ht="15">
      <c r="A2515" s="4">
        <v>201409</v>
      </c>
      <c r="B2515" t="s">
        <v>1321</v>
      </c>
      <c r="C2515" s="5">
        <v>6607460</v>
      </c>
      <c r="D2515" s="2" t="s">
        <v>1398</v>
      </c>
      <c r="E2515" s="2" t="s">
        <v>238</v>
      </c>
      <c r="F2515" s="3">
        <v>1454.6</v>
      </c>
      <c r="H2515" s="1" t="s">
        <v>14</v>
      </c>
      <c r="I2515" t="s">
        <v>1330</v>
      </c>
      <c r="J2515" t="s">
        <v>1322</v>
      </c>
      <c r="K2515" t="s">
        <v>1303</v>
      </c>
      <c r="L2515" t="s">
        <v>1323</v>
      </c>
    </row>
    <row r="2516" spans="1:12" ht="15">
      <c r="A2516" s="4">
        <v>201409</v>
      </c>
      <c r="B2516" t="s">
        <v>1321</v>
      </c>
      <c r="C2516" s="5">
        <v>6607460</v>
      </c>
      <c r="D2516" s="2" t="s">
        <v>1398</v>
      </c>
      <c r="E2516" s="2" t="s">
        <v>238</v>
      </c>
      <c r="F2516" s="3">
        <v>0.46</v>
      </c>
      <c r="H2516" s="1" t="s">
        <v>66</v>
      </c>
      <c r="I2516" t="s">
        <v>67</v>
      </c>
      <c r="J2516" t="s">
        <v>1322</v>
      </c>
      <c r="K2516" t="s">
        <v>1303</v>
      </c>
      <c r="L2516" t="s">
        <v>1323</v>
      </c>
    </row>
    <row r="2517" spans="1:14" ht="15">
      <c r="A2517" s="4">
        <v>201412</v>
      </c>
      <c r="B2517" t="s">
        <v>1321</v>
      </c>
      <c r="C2517" s="5">
        <v>6624449</v>
      </c>
      <c r="D2517" s="2" t="s">
        <v>1399</v>
      </c>
      <c r="E2517" s="2" t="s">
        <v>269</v>
      </c>
      <c r="F2517" s="3">
        <v>79.32</v>
      </c>
      <c r="G2517" t="s">
        <v>57</v>
      </c>
      <c r="H2517" s="1" t="s">
        <v>60</v>
      </c>
      <c r="I2517">
        <f>-11234/5026905/1</f>
        <v>-0.0022347746774605847</v>
      </c>
      <c r="J2517" t="s">
        <v>1322</v>
      </c>
      <c r="K2517" t="s">
        <v>1303</v>
      </c>
      <c r="L2517" t="s">
        <v>1323</v>
      </c>
      <c r="N2517" t="s">
        <v>58</v>
      </c>
    </row>
    <row r="2518" spans="1:13" ht="15">
      <c r="A2518" s="4">
        <v>201412</v>
      </c>
      <c r="B2518" t="s">
        <v>1321</v>
      </c>
      <c r="C2518" s="5">
        <v>6624449</v>
      </c>
      <c r="D2518" s="2" t="s">
        <v>1399</v>
      </c>
      <c r="E2518" s="2" t="s">
        <v>269</v>
      </c>
      <c r="F2518" s="3">
        <v>1322</v>
      </c>
      <c r="G2518" t="s">
        <v>1400</v>
      </c>
      <c r="H2518" s="1" t="s">
        <v>60</v>
      </c>
      <c r="I2518" t="s">
        <v>1401</v>
      </c>
      <c r="J2518" t="s">
        <v>1322</v>
      </c>
      <c r="K2518" t="s">
        <v>1303</v>
      </c>
      <c r="L2518" t="s">
        <v>1323</v>
      </c>
      <c r="M2518">
        <v>918301</v>
      </c>
    </row>
    <row r="2519" spans="1:12" ht="15">
      <c r="A2519" s="4">
        <v>201412</v>
      </c>
      <c r="B2519" t="s">
        <v>1321</v>
      </c>
      <c r="C2519" s="5">
        <v>6624449</v>
      </c>
      <c r="D2519" s="2" t="s">
        <v>1399</v>
      </c>
      <c r="E2519" s="2" t="s">
        <v>269</v>
      </c>
      <c r="F2519" s="3">
        <v>0.87</v>
      </c>
      <c r="H2519" s="1" t="s">
        <v>66</v>
      </c>
      <c r="I2519" t="s">
        <v>67</v>
      </c>
      <c r="J2519" t="s">
        <v>1322</v>
      </c>
      <c r="K2519" t="s">
        <v>1303</v>
      </c>
      <c r="L2519" t="s">
        <v>1323</v>
      </c>
    </row>
    <row r="2520" spans="1:14" ht="15">
      <c r="A2520" s="4">
        <v>201403</v>
      </c>
      <c r="B2520" t="s">
        <v>1402</v>
      </c>
      <c r="C2520" s="5">
        <v>6530140</v>
      </c>
      <c r="D2520" s="2" t="s">
        <v>552</v>
      </c>
      <c r="E2520" s="2" t="s">
        <v>15</v>
      </c>
      <c r="F2520" s="3">
        <v>400.01</v>
      </c>
      <c r="G2520" t="s">
        <v>57</v>
      </c>
      <c r="H2520" s="1" t="s">
        <v>44</v>
      </c>
      <c r="I2520">
        <f>-56764/201413/2</f>
        <v>-0.1409144394850382</v>
      </c>
      <c r="J2520" t="s">
        <v>1403</v>
      </c>
      <c r="K2520" t="s">
        <v>197</v>
      </c>
      <c r="L2520" t="s">
        <v>1404</v>
      </c>
      <c r="N2520" t="s">
        <v>58</v>
      </c>
    </row>
    <row r="2521" spans="1:13" ht="15">
      <c r="A2521" s="4">
        <v>201403</v>
      </c>
      <c r="B2521" t="s">
        <v>1402</v>
      </c>
      <c r="C2521" s="5">
        <v>6530140</v>
      </c>
      <c r="D2521" s="2" t="s">
        <v>552</v>
      </c>
      <c r="E2521" s="2" t="s">
        <v>15</v>
      </c>
      <c r="F2521" s="3">
        <v>1633.78</v>
      </c>
      <c r="G2521" t="s">
        <v>610</v>
      </c>
      <c r="H2521" s="1" t="s">
        <v>44</v>
      </c>
      <c r="I2521" t="s">
        <v>1405</v>
      </c>
      <c r="J2521" t="s">
        <v>1403</v>
      </c>
      <c r="K2521" t="s">
        <v>197</v>
      </c>
      <c r="L2521" t="s">
        <v>1404</v>
      </c>
      <c r="M2521">
        <v>898255</v>
      </c>
    </row>
    <row r="2522" spans="1:13" ht="15">
      <c r="A2522" s="4">
        <v>201403</v>
      </c>
      <c r="B2522" t="s">
        <v>1402</v>
      </c>
      <c r="C2522" s="5">
        <v>6530140</v>
      </c>
      <c r="D2522" s="2" t="s">
        <v>552</v>
      </c>
      <c r="E2522" s="2" t="s">
        <v>15</v>
      </c>
      <c r="F2522" s="3">
        <v>5033.03</v>
      </c>
      <c r="G2522" t="s">
        <v>610</v>
      </c>
      <c r="H2522" s="1" t="s">
        <v>44</v>
      </c>
      <c r="I2522" t="s">
        <v>1406</v>
      </c>
      <c r="J2522" t="s">
        <v>1403</v>
      </c>
      <c r="K2522" t="s">
        <v>197</v>
      </c>
      <c r="L2522" t="s">
        <v>1404</v>
      </c>
      <c r="M2522">
        <v>898255</v>
      </c>
    </row>
    <row r="2523" spans="1:13" ht="15">
      <c r="A2523" s="4">
        <v>201403</v>
      </c>
      <c r="B2523" t="s">
        <v>1402</v>
      </c>
      <c r="C2523" s="5">
        <v>6530140</v>
      </c>
      <c r="D2523" s="2" t="s">
        <v>552</v>
      </c>
      <c r="E2523" s="2" t="s">
        <v>15</v>
      </c>
      <c r="F2523" s="3">
        <v>8265.9</v>
      </c>
      <c r="G2523" t="s">
        <v>554</v>
      </c>
      <c r="H2523" s="1" t="s">
        <v>44</v>
      </c>
      <c r="I2523" t="s">
        <v>1407</v>
      </c>
      <c r="J2523" t="s">
        <v>1403</v>
      </c>
      <c r="K2523" t="s">
        <v>197</v>
      </c>
      <c r="L2523" t="s">
        <v>1404</v>
      </c>
      <c r="M2523">
        <v>898825</v>
      </c>
    </row>
    <row r="2524" spans="1:13" ht="15">
      <c r="A2524" s="4">
        <v>201403</v>
      </c>
      <c r="B2524" t="s">
        <v>1402</v>
      </c>
      <c r="C2524" s="5">
        <v>6530140</v>
      </c>
      <c r="D2524" s="2" t="s">
        <v>552</v>
      </c>
      <c r="E2524" s="2" t="s">
        <v>15</v>
      </c>
      <c r="F2524" s="3">
        <v>9270</v>
      </c>
      <c r="G2524" t="s">
        <v>554</v>
      </c>
      <c r="H2524" s="1" t="s">
        <v>44</v>
      </c>
      <c r="I2524" t="s">
        <v>1408</v>
      </c>
      <c r="J2524" t="s">
        <v>1403</v>
      </c>
      <c r="K2524" t="s">
        <v>197</v>
      </c>
      <c r="L2524" t="s">
        <v>1404</v>
      </c>
      <c r="M2524">
        <v>898825</v>
      </c>
    </row>
    <row r="2525" spans="1:13" ht="15">
      <c r="A2525" s="4">
        <v>201403</v>
      </c>
      <c r="B2525" t="s">
        <v>1402</v>
      </c>
      <c r="C2525" s="5">
        <v>6530141</v>
      </c>
      <c r="D2525" s="2" t="s">
        <v>604</v>
      </c>
      <c r="E2525" s="2" t="s">
        <v>15</v>
      </c>
      <c r="F2525" s="3">
        <v>375</v>
      </c>
      <c r="G2525" t="s">
        <v>610</v>
      </c>
      <c r="H2525" s="1" t="s">
        <v>44</v>
      </c>
      <c r="I2525" t="s">
        <v>1409</v>
      </c>
      <c r="J2525" t="s">
        <v>1403</v>
      </c>
      <c r="K2525" t="s">
        <v>197</v>
      </c>
      <c r="L2525" t="s">
        <v>1404</v>
      </c>
      <c r="M2525">
        <v>898255</v>
      </c>
    </row>
    <row r="2526" spans="1:14" ht="15">
      <c r="A2526" s="4">
        <v>201403</v>
      </c>
      <c r="B2526" t="s">
        <v>1402</v>
      </c>
      <c r="C2526" s="5">
        <v>6530141</v>
      </c>
      <c r="D2526" s="2" t="s">
        <v>604</v>
      </c>
      <c r="E2526" s="2" t="s">
        <v>15</v>
      </c>
      <c r="F2526" s="3">
        <v>400.01</v>
      </c>
      <c r="G2526" t="s">
        <v>57</v>
      </c>
      <c r="H2526" s="1" t="s">
        <v>44</v>
      </c>
      <c r="I2526">
        <f>-56764/201413/1</f>
        <v>-0.2818288789700764</v>
      </c>
      <c r="J2526" t="s">
        <v>1403</v>
      </c>
      <c r="K2526" t="s">
        <v>197</v>
      </c>
      <c r="L2526" t="s">
        <v>1404</v>
      </c>
      <c r="N2526" t="s">
        <v>58</v>
      </c>
    </row>
    <row r="2527" spans="1:13" ht="15">
      <c r="A2527" s="4">
        <v>201403</v>
      </c>
      <c r="B2527" t="s">
        <v>1402</v>
      </c>
      <c r="C2527" s="5">
        <v>6530141</v>
      </c>
      <c r="D2527" s="2" t="s">
        <v>604</v>
      </c>
      <c r="E2527" s="2" t="s">
        <v>15</v>
      </c>
      <c r="F2527" s="3">
        <v>1633.78</v>
      </c>
      <c r="G2527" t="s">
        <v>610</v>
      </c>
      <c r="H2527" s="1" t="s">
        <v>44</v>
      </c>
      <c r="I2527" t="s">
        <v>1405</v>
      </c>
      <c r="J2527" t="s">
        <v>1403</v>
      </c>
      <c r="K2527" t="s">
        <v>197</v>
      </c>
      <c r="L2527" t="s">
        <v>1404</v>
      </c>
      <c r="M2527">
        <v>898255</v>
      </c>
    </row>
    <row r="2528" spans="1:13" ht="15">
      <c r="A2528" s="4">
        <v>201403</v>
      </c>
      <c r="B2528" t="s">
        <v>1402</v>
      </c>
      <c r="C2528" s="5">
        <v>6530141</v>
      </c>
      <c r="D2528" s="2" t="s">
        <v>604</v>
      </c>
      <c r="E2528" s="2" t="s">
        <v>15</v>
      </c>
      <c r="F2528" s="3">
        <v>5033.03</v>
      </c>
      <c r="G2528" t="s">
        <v>610</v>
      </c>
      <c r="H2528" s="1" t="s">
        <v>44</v>
      </c>
      <c r="I2528" t="s">
        <v>1406</v>
      </c>
      <c r="J2528" t="s">
        <v>1403</v>
      </c>
      <c r="K2528" t="s">
        <v>197</v>
      </c>
      <c r="L2528" t="s">
        <v>1404</v>
      </c>
      <c r="M2528">
        <v>898255</v>
      </c>
    </row>
    <row r="2529" spans="1:12" ht="15">
      <c r="A2529" s="4">
        <v>201406</v>
      </c>
      <c r="B2529" t="s">
        <v>1402</v>
      </c>
      <c r="C2529" s="5">
        <v>6555042</v>
      </c>
      <c r="D2529" s="2" t="s">
        <v>1411</v>
      </c>
      <c r="E2529" s="2" t="s">
        <v>15</v>
      </c>
      <c r="F2529" s="3">
        <v>-517.5</v>
      </c>
      <c r="H2529" s="1" t="s">
        <v>43</v>
      </c>
      <c r="I2529" t="s">
        <v>1410</v>
      </c>
      <c r="J2529" t="s">
        <v>1403</v>
      </c>
      <c r="K2529" t="s">
        <v>197</v>
      </c>
      <c r="L2529" t="s">
        <v>1404</v>
      </c>
    </row>
    <row r="2530" spans="1:13" ht="15">
      <c r="A2530" s="4">
        <v>201404</v>
      </c>
      <c r="B2530" t="s">
        <v>1402</v>
      </c>
      <c r="C2530" s="5">
        <v>6555042</v>
      </c>
      <c r="D2530" s="2" t="s">
        <v>1411</v>
      </c>
      <c r="E2530" s="2" t="s">
        <v>15</v>
      </c>
      <c r="F2530" s="3">
        <v>182244</v>
      </c>
      <c r="G2530" t="s">
        <v>1412</v>
      </c>
      <c r="H2530" s="1" t="s">
        <v>44</v>
      </c>
      <c r="I2530" t="s">
        <v>1413</v>
      </c>
      <c r="J2530" t="s">
        <v>1403</v>
      </c>
      <c r="K2530" t="s">
        <v>197</v>
      </c>
      <c r="L2530" t="s">
        <v>1404</v>
      </c>
      <c r="M2530">
        <v>904357</v>
      </c>
    </row>
    <row r="2531" spans="1:12" ht="15">
      <c r="A2531" s="4">
        <v>201405</v>
      </c>
      <c r="B2531" t="s">
        <v>1402</v>
      </c>
      <c r="C2531" s="5">
        <v>6555042</v>
      </c>
      <c r="D2531" s="2" t="s">
        <v>1411</v>
      </c>
      <c r="E2531" s="2" t="s">
        <v>15</v>
      </c>
      <c r="F2531" s="3">
        <v>-182244</v>
      </c>
      <c r="G2531" t="s">
        <v>1412</v>
      </c>
      <c r="H2531" s="1" t="s">
        <v>44</v>
      </c>
      <c r="I2531" t="s">
        <v>1414</v>
      </c>
      <c r="J2531" t="s">
        <v>1403</v>
      </c>
      <c r="K2531" t="s">
        <v>197</v>
      </c>
      <c r="L2531" t="s">
        <v>1404</v>
      </c>
    </row>
    <row r="2532" spans="1:13" ht="15">
      <c r="A2532" s="4">
        <v>201404</v>
      </c>
      <c r="B2532" t="s">
        <v>1402</v>
      </c>
      <c r="C2532" s="5">
        <v>6555042</v>
      </c>
      <c r="D2532" s="2" t="s">
        <v>1411</v>
      </c>
      <c r="E2532" s="2" t="s">
        <v>15</v>
      </c>
      <c r="F2532" s="3">
        <v>340</v>
      </c>
      <c r="G2532" t="s">
        <v>79</v>
      </c>
      <c r="H2532" s="1" t="s">
        <v>78</v>
      </c>
      <c r="I2532" t="s">
        <v>1415</v>
      </c>
      <c r="J2532" t="s">
        <v>1403</v>
      </c>
      <c r="K2532" t="s">
        <v>197</v>
      </c>
      <c r="L2532" t="s">
        <v>1404</v>
      </c>
      <c r="M2532">
        <v>902792</v>
      </c>
    </row>
    <row r="2533" spans="1:13" ht="15">
      <c r="A2533" s="4">
        <v>201404</v>
      </c>
      <c r="B2533" t="s">
        <v>1402</v>
      </c>
      <c r="C2533" s="5">
        <v>6555042</v>
      </c>
      <c r="D2533" s="2" t="s">
        <v>1411</v>
      </c>
      <c r="E2533" s="2" t="s">
        <v>15</v>
      </c>
      <c r="F2533" s="3">
        <v>98132</v>
      </c>
      <c r="G2533" t="s">
        <v>1412</v>
      </c>
      <c r="H2533" s="1" t="s">
        <v>78</v>
      </c>
      <c r="I2533" t="s">
        <v>1413</v>
      </c>
      <c r="J2533" t="s">
        <v>1403</v>
      </c>
      <c r="K2533" t="s">
        <v>197</v>
      </c>
      <c r="L2533" t="s">
        <v>1404</v>
      </c>
      <c r="M2533">
        <v>904357</v>
      </c>
    </row>
    <row r="2534" spans="1:12" ht="15">
      <c r="A2534" s="4">
        <v>201405</v>
      </c>
      <c r="B2534" t="s">
        <v>1402</v>
      </c>
      <c r="C2534" s="5">
        <v>6555042</v>
      </c>
      <c r="D2534" s="2" t="s">
        <v>1411</v>
      </c>
      <c r="E2534" s="2" t="s">
        <v>15</v>
      </c>
      <c r="F2534" s="3">
        <v>-98132</v>
      </c>
      <c r="G2534" t="s">
        <v>1412</v>
      </c>
      <c r="H2534" s="1" t="s">
        <v>78</v>
      </c>
      <c r="I2534" t="s">
        <v>1414</v>
      </c>
      <c r="J2534" t="s">
        <v>1403</v>
      </c>
      <c r="K2534" t="s">
        <v>197</v>
      </c>
      <c r="L2534" t="s">
        <v>1404</v>
      </c>
    </row>
    <row r="2535" spans="1:13" ht="15">
      <c r="A2535" s="4">
        <v>201404</v>
      </c>
      <c r="B2535" t="s">
        <v>1402</v>
      </c>
      <c r="C2535" s="5">
        <v>6555042</v>
      </c>
      <c r="D2535" s="2" t="s">
        <v>1411</v>
      </c>
      <c r="E2535" s="2" t="s">
        <v>15</v>
      </c>
      <c r="F2535" s="3">
        <v>348</v>
      </c>
      <c r="G2535" t="s">
        <v>79</v>
      </c>
      <c r="H2535" s="1" t="s">
        <v>46</v>
      </c>
      <c r="I2535" t="s">
        <v>1415</v>
      </c>
      <c r="J2535" t="s">
        <v>1403</v>
      </c>
      <c r="K2535" t="s">
        <v>197</v>
      </c>
      <c r="L2535" t="s">
        <v>1404</v>
      </c>
      <c r="M2535">
        <v>902792</v>
      </c>
    </row>
    <row r="2536" spans="1:14" ht="15">
      <c r="A2536" s="4">
        <v>201404</v>
      </c>
      <c r="B2536" t="s">
        <v>1402</v>
      </c>
      <c r="C2536" s="5">
        <v>6555042</v>
      </c>
      <c r="D2536" s="2" t="s">
        <v>1411</v>
      </c>
      <c r="E2536" s="2" t="s">
        <v>15</v>
      </c>
      <c r="F2536" s="3">
        <v>0.37</v>
      </c>
      <c r="G2536" t="s">
        <v>57</v>
      </c>
      <c r="H2536" s="1" t="s">
        <v>60</v>
      </c>
      <c r="I2536">
        <f>-72123/4121986/1</f>
        <v>-0.017497148219329225</v>
      </c>
      <c r="J2536" t="s">
        <v>1403</v>
      </c>
      <c r="K2536" t="s">
        <v>197</v>
      </c>
      <c r="L2536" t="s">
        <v>1404</v>
      </c>
      <c r="N2536" t="s">
        <v>58</v>
      </c>
    </row>
    <row r="2537" spans="1:14" ht="15">
      <c r="A2537" s="4">
        <v>201404</v>
      </c>
      <c r="B2537" t="s">
        <v>1402</v>
      </c>
      <c r="C2537" s="5">
        <v>6555042</v>
      </c>
      <c r="D2537" s="2" t="s">
        <v>1411</v>
      </c>
      <c r="E2537" s="2" t="s">
        <v>15</v>
      </c>
      <c r="F2537" s="3">
        <v>1.51</v>
      </c>
      <c r="G2537" t="s">
        <v>57</v>
      </c>
      <c r="H2537" s="1" t="s">
        <v>60</v>
      </c>
      <c r="I2537">
        <f>-72123/4121995/1</f>
        <v>-0.017497110015902494</v>
      </c>
      <c r="J2537" t="s">
        <v>1403</v>
      </c>
      <c r="K2537" t="s">
        <v>197</v>
      </c>
      <c r="L2537" t="s">
        <v>1404</v>
      </c>
      <c r="N2537" t="s">
        <v>58</v>
      </c>
    </row>
    <row r="2538" spans="1:14" ht="15">
      <c r="A2538" s="4">
        <v>201404</v>
      </c>
      <c r="B2538" t="s">
        <v>1402</v>
      </c>
      <c r="C2538" s="5">
        <v>6555042</v>
      </c>
      <c r="D2538" s="2" t="s">
        <v>1411</v>
      </c>
      <c r="E2538" s="2" t="s">
        <v>15</v>
      </c>
      <c r="F2538" s="3">
        <v>3.45</v>
      </c>
      <c r="G2538" t="s">
        <v>57</v>
      </c>
      <c r="H2538" s="1" t="s">
        <v>60</v>
      </c>
      <c r="I2538">
        <f>-72123/4121997/1</f>
        <v>-0.017497101526274764</v>
      </c>
      <c r="J2538" t="s">
        <v>1403</v>
      </c>
      <c r="K2538" t="s">
        <v>197</v>
      </c>
      <c r="L2538" t="s">
        <v>1404</v>
      </c>
      <c r="N2538" t="s">
        <v>58</v>
      </c>
    </row>
    <row r="2539" spans="1:14" ht="15">
      <c r="A2539" s="4">
        <v>201404</v>
      </c>
      <c r="B2539" t="s">
        <v>1402</v>
      </c>
      <c r="C2539" s="5">
        <v>6555042</v>
      </c>
      <c r="D2539" s="2" t="s">
        <v>1411</v>
      </c>
      <c r="E2539" s="2" t="s">
        <v>15</v>
      </c>
      <c r="F2539" s="3">
        <v>4</v>
      </c>
      <c r="G2539" t="s">
        <v>57</v>
      </c>
      <c r="H2539" s="1" t="s">
        <v>60</v>
      </c>
      <c r="I2539">
        <f>-72123/4115970/1</f>
        <v>-0.01752272246882266</v>
      </c>
      <c r="J2539" t="s">
        <v>1403</v>
      </c>
      <c r="K2539" t="s">
        <v>197</v>
      </c>
      <c r="L2539" t="s">
        <v>1404</v>
      </c>
      <c r="N2539" t="s">
        <v>58</v>
      </c>
    </row>
    <row r="2540" spans="1:13" ht="15">
      <c r="A2540" s="4">
        <v>201404</v>
      </c>
      <c r="B2540" t="s">
        <v>1402</v>
      </c>
      <c r="C2540" s="5">
        <v>6555042</v>
      </c>
      <c r="D2540" s="2" t="s">
        <v>1411</v>
      </c>
      <c r="E2540" s="2" t="s">
        <v>15</v>
      </c>
      <c r="F2540" s="3">
        <v>4.81</v>
      </c>
      <c r="G2540" t="s">
        <v>110</v>
      </c>
      <c r="H2540" s="1" t="s">
        <v>60</v>
      </c>
      <c r="I2540" t="s">
        <v>1416</v>
      </c>
      <c r="J2540" t="s">
        <v>1403</v>
      </c>
      <c r="K2540" t="s">
        <v>197</v>
      </c>
      <c r="L2540" t="s">
        <v>1404</v>
      </c>
      <c r="M2540">
        <v>902900</v>
      </c>
    </row>
    <row r="2541" spans="1:13" ht="15">
      <c r="A2541" s="4">
        <v>201404</v>
      </c>
      <c r="B2541" t="s">
        <v>1402</v>
      </c>
      <c r="C2541" s="5">
        <v>6555042</v>
      </c>
      <c r="D2541" s="2" t="s">
        <v>1411</v>
      </c>
      <c r="E2541" s="2" t="s">
        <v>15</v>
      </c>
      <c r="F2541" s="3">
        <v>6.06</v>
      </c>
      <c r="G2541" t="s">
        <v>110</v>
      </c>
      <c r="H2541" s="1" t="s">
        <v>60</v>
      </c>
      <c r="I2541" t="s">
        <v>1417</v>
      </c>
      <c r="J2541" t="s">
        <v>1403</v>
      </c>
      <c r="K2541" t="s">
        <v>197</v>
      </c>
      <c r="L2541" t="s">
        <v>1404</v>
      </c>
      <c r="M2541">
        <v>903158</v>
      </c>
    </row>
    <row r="2542" spans="1:14" ht="15">
      <c r="A2542" s="4">
        <v>201404</v>
      </c>
      <c r="B2542" t="s">
        <v>1402</v>
      </c>
      <c r="C2542" s="5">
        <v>6555042</v>
      </c>
      <c r="D2542" s="2" t="s">
        <v>1411</v>
      </c>
      <c r="E2542" s="2" t="s">
        <v>15</v>
      </c>
      <c r="F2542" s="3">
        <v>9.04</v>
      </c>
      <c r="G2542" t="s">
        <v>57</v>
      </c>
      <c r="H2542" s="1" t="s">
        <v>60</v>
      </c>
      <c r="I2542">
        <f>-72123/4122482/1</f>
        <v>-0.017495043034754305</v>
      </c>
      <c r="J2542" t="s">
        <v>1403</v>
      </c>
      <c r="K2542" t="s">
        <v>197</v>
      </c>
      <c r="L2542" t="s">
        <v>1404</v>
      </c>
      <c r="N2542" t="s">
        <v>58</v>
      </c>
    </row>
    <row r="2543" spans="1:14" ht="15">
      <c r="A2543" s="4">
        <v>201404</v>
      </c>
      <c r="B2543" t="s">
        <v>1402</v>
      </c>
      <c r="C2543" s="5">
        <v>6555042</v>
      </c>
      <c r="D2543" s="2" t="s">
        <v>1411</v>
      </c>
      <c r="E2543" s="2" t="s">
        <v>15</v>
      </c>
      <c r="F2543" s="3">
        <v>10.8</v>
      </c>
      <c r="G2543" t="s">
        <v>57</v>
      </c>
      <c r="H2543" s="1" t="s">
        <v>60</v>
      </c>
      <c r="I2543">
        <f>-15413/37174/1</f>
        <v>-0.41461774358422554</v>
      </c>
      <c r="J2543" t="s">
        <v>1403</v>
      </c>
      <c r="K2543" t="s">
        <v>197</v>
      </c>
      <c r="L2543" t="s">
        <v>1404</v>
      </c>
      <c r="N2543" t="s">
        <v>58</v>
      </c>
    </row>
    <row r="2544" spans="1:14" ht="15">
      <c r="A2544" s="4">
        <v>201404</v>
      </c>
      <c r="B2544" t="s">
        <v>1402</v>
      </c>
      <c r="C2544" s="5">
        <v>6555042</v>
      </c>
      <c r="D2544" s="2" t="s">
        <v>1411</v>
      </c>
      <c r="E2544" s="2" t="s">
        <v>15</v>
      </c>
      <c r="F2544" s="3">
        <v>11.97</v>
      </c>
      <c r="G2544" t="s">
        <v>57</v>
      </c>
      <c r="H2544" s="1" t="s">
        <v>60</v>
      </c>
      <c r="I2544">
        <f>-72123/4121999/1</f>
        <v>-0.017497093036655274</v>
      </c>
      <c r="J2544" t="s">
        <v>1403</v>
      </c>
      <c r="K2544" t="s">
        <v>197</v>
      </c>
      <c r="L2544" t="s">
        <v>1404</v>
      </c>
      <c r="N2544" t="s">
        <v>58</v>
      </c>
    </row>
    <row r="2545" spans="1:13" ht="15">
      <c r="A2545" s="4">
        <v>201404</v>
      </c>
      <c r="B2545" t="s">
        <v>1402</v>
      </c>
      <c r="C2545" s="5">
        <v>6555042</v>
      </c>
      <c r="D2545" s="2" t="s">
        <v>1411</v>
      </c>
      <c r="E2545" s="2" t="s">
        <v>15</v>
      </c>
      <c r="F2545" s="3">
        <v>12.42</v>
      </c>
      <c r="G2545" t="s">
        <v>110</v>
      </c>
      <c r="H2545" s="1" t="s">
        <v>60</v>
      </c>
      <c r="I2545" t="s">
        <v>1418</v>
      </c>
      <c r="J2545" t="s">
        <v>1403</v>
      </c>
      <c r="K2545" t="s">
        <v>197</v>
      </c>
      <c r="L2545" t="s">
        <v>1404</v>
      </c>
      <c r="M2545">
        <v>902900</v>
      </c>
    </row>
    <row r="2546" spans="1:14" ht="15">
      <c r="A2546" s="4">
        <v>201404</v>
      </c>
      <c r="B2546" t="s">
        <v>1402</v>
      </c>
      <c r="C2546" s="5">
        <v>6555042</v>
      </c>
      <c r="D2546" s="2" t="s">
        <v>1411</v>
      </c>
      <c r="E2546" s="2" t="s">
        <v>15</v>
      </c>
      <c r="F2546" s="3">
        <v>12.89</v>
      </c>
      <c r="G2546" t="s">
        <v>57</v>
      </c>
      <c r="H2546" s="1" t="s">
        <v>60</v>
      </c>
      <c r="I2546">
        <f>-72123/4121998/1</f>
        <v>-0.01749709728146399</v>
      </c>
      <c r="J2546" t="s">
        <v>1403</v>
      </c>
      <c r="K2546" t="s">
        <v>197</v>
      </c>
      <c r="L2546" t="s">
        <v>1404</v>
      </c>
      <c r="N2546" t="s">
        <v>58</v>
      </c>
    </row>
    <row r="2547" spans="1:13" ht="15">
      <c r="A2547" s="4">
        <v>201404</v>
      </c>
      <c r="B2547" t="s">
        <v>1402</v>
      </c>
      <c r="C2547" s="5">
        <v>6555042</v>
      </c>
      <c r="D2547" s="2" t="s">
        <v>1411</v>
      </c>
      <c r="E2547" s="2" t="s">
        <v>15</v>
      </c>
      <c r="F2547" s="3">
        <v>14.12</v>
      </c>
      <c r="G2547" t="s">
        <v>110</v>
      </c>
      <c r="H2547" s="1" t="s">
        <v>60</v>
      </c>
      <c r="I2547" t="s">
        <v>1419</v>
      </c>
      <c r="J2547" t="s">
        <v>1403</v>
      </c>
      <c r="K2547" t="s">
        <v>197</v>
      </c>
      <c r="L2547" t="s">
        <v>1404</v>
      </c>
      <c r="M2547">
        <v>902900</v>
      </c>
    </row>
    <row r="2548" spans="1:13" ht="15">
      <c r="A2548" s="4">
        <v>201404</v>
      </c>
      <c r="B2548" t="s">
        <v>1402</v>
      </c>
      <c r="C2548" s="5">
        <v>6555042</v>
      </c>
      <c r="D2548" s="2" t="s">
        <v>1411</v>
      </c>
      <c r="E2548" s="2" t="s">
        <v>15</v>
      </c>
      <c r="F2548" s="3">
        <v>16.46</v>
      </c>
      <c r="G2548" t="s">
        <v>110</v>
      </c>
      <c r="H2548" s="1" t="s">
        <v>60</v>
      </c>
      <c r="I2548" t="s">
        <v>1420</v>
      </c>
      <c r="J2548" t="s">
        <v>1403</v>
      </c>
      <c r="K2548" t="s">
        <v>197</v>
      </c>
      <c r="L2548" t="s">
        <v>1404</v>
      </c>
      <c r="M2548">
        <v>902900</v>
      </c>
    </row>
    <row r="2549" spans="1:13" ht="15">
      <c r="A2549" s="4">
        <v>201404</v>
      </c>
      <c r="B2549" t="s">
        <v>1402</v>
      </c>
      <c r="C2549" s="5">
        <v>6555042</v>
      </c>
      <c r="D2549" s="2" t="s">
        <v>1411</v>
      </c>
      <c r="E2549" s="2" t="s">
        <v>15</v>
      </c>
      <c r="F2549" s="3">
        <v>16.46</v>
      </c>
      <c r="G2549" t="s">
        <v>110</v>
      </c>
      <c r="H2549" s="1" t="s">
        <v>60</v>
      </c>
      <c r="I2549" t="s">
        <v>1420</v>
      </c>
      <c r="J2549" t="s">
        <v>1403</v>
      </c>
      <c r="K2549" t="s">
        <v>197</v>
      </c>
      <c r="L2549" t="s">
        <v>1404</v>
      </c>
      <c r="M2549">
        <v>902900</v>
      </c>
    </row>
    <row r="2550" spans="1:13" ht="15">
      <c r="A2550" s="4">
        <v>201404</v>
      </c>
      <c r="B2550" t="s">
        <v>1402</v>
      </c>
      <c r="C2550" s="5">
        <v>6555042</v>
      </c>
      <c r="D2550" s="2" t="s">
        <v>1411</v>
      </c>
      <c r="E2550" s="2" t="s">
        <v>15</v>
      </c>
      <c r="F2550" s="3">
        <v>24.67</v>
      </c>
      <c r="G2550" t="s">
        <v>110</v>
      </c>
      <c r="H2550" s="1" t="s">
        <v>60</v>
      </c>
      <c r="I2550" t="s">
        <v>1421</v>
      </c>
      <c r="J2550" t="s">
        <v>1403</v>
      </c>
      <c r="K2550" t="s">
        <v>197</v>
      </c>
      <c r="L2550" t="s">
        <v>1404</v>
      </c>
      <c r="M2550">
        <v>903295</v>
      </c>
    </row>
    <row r="2551" spans="1:13" ht="15">
      <c r="A2551" s="4">
        <v>201404</v>
      </c>
      <c r="B2551" t="s">
        <v>1402</v>
      </c>
      <c r="C2551" s="5">
        <v>6555042</v>
      </c>
      <c r="D2551" s="2" t="s">
        <v>1411</v>
      </c>
      <c r="E2551" s="2" t="s">
        <v>15</v>
      </c>
      <c r="F2551" s="3">
        <v>31.82</v>
      </c>
      <c r="G2551" t="s">
        <v>110</v>
      </c>
      <c r="H2551" s="1" t="s">
        <v>60</v>
      </c>
      <c r="I2551" t="s">
        <v>1422</v>
      </c>
      <c r="J2551" t="s">
        <v>1403</v>
      </c>
      <c r="K2551" t="s">
        <v>197</v>
      </c>
      <c r="L2551" t="s">
        <v>1404</v>
      </c>
      <c r="M2551">
        <v>902900</v>
      </c>
    </row>
    <row r="2552" spans="1:13" ht="15">
      <c r="A2552" s="4">
        <v>201404</v>
      </c>
      <c r="B2552" t="s">
        <v>1402</v>
      </c>
      <c r="C2552" s="5">
        <v>6555042</v>
      </c>
      <c r="D2552" s="2" t="s">
        <v>1411</v>
      </c>
      <c r="E2552" s="2" t="s">
        <v>15</v>
      </c>
      <c r="F2552" s="3">
        <v>32.54</v>
      </c>
      <c r="G2552" t="s">
        <v>110</v>
      </c>
      <c r="H2552" s="1" t="s">
        <v>60</v>
      </c>
      <c r="I2552" t="s">
        <v>1423</v>
      </c>
      <c r="J2552" t="s">
        <v>1403</v>
      </c>
      <c r="K2552" t="s">
        <v>197</v>
      </c>
      <c r="L2552" t="s">
        <v>1404</v>
      </c>
      <c r="M2552">
        <v>902900</v>
      </c>
    </row>
    <row r="2553" spans="1:14" ht="15">
      <c r="A2553" s="4">
        <v>201404</v>
      </c>
      <c r="B2553" t="s">
        <v>1402</v>
      </c>
      <c r="C2553" s="5">
        <v>6555042</v>
      </c>
      <c r="D2553" s="2" t="s">
        <v>1411</v>
      </c>
      <c r="E2553" s="2" t="s">
        <v>15</v>
      </c>
      <c r="F2553" s="3">
        <v>35.45</v>
      </c>
      <c r="G2553" t="s">
        <v>57</v>
      </c>
      <c r="H2553" s="1" t="s">
        <v>60</v>
      </c>
      <c r="I2553">
        <f>-72123/4122008/1</f>
        <v>-0.017497054833469514</v>
      </c>
      <c r="J2553" t="s">
        <v>1403</v>
      </c>
      <c r="K2553" t="s">
        <v>197</v>
      </c>
      <c r="L2553" t="s">
        <v>1404</v>
      </c>
      <c r="N2553" t="s">
        <v>58</v>
      </c>
    </row>
    <row r="2554" spans="1:13" ht="15">
      <c r="A2554" s="4">
        <v>201404</v>
      </c>
      <c r="B2554" t="s">
        <v>1402</v>
      </c>
      <c r="C2554" s="5">
        <v>6555042</v>
      </c>
      <c r="D2554" s="2" t="s">
        <v>1411</v>
      </c>
      <c r="E2554" s="2" t="s">
        <v>15</v>
      </c>
      <c r="F2554" s="3">
        <v>55.86</v>
      </c>
      <c r="G2554" t="s">
        <v>110</v>
      </c>
      <c r="H2554" s="1" t="s">
        <v>60</v>
      </c>
      <c r="I2554" t="s">
        <v>1424</v>
      </c>
      <c r="J2554" t="s">
        <v>1403</v>
      </c>
      <c r="K2554" t="s">
        <v>197</v>
      </c>
      <c r="L2554" t="s">
        <v>1404</v>
      </c>
      <c r="M2554">
        <v>902900</v>
      </c>
    </row>
    <row r="2555" spans="1:13" ht="15">
      <c r="A2555" s="4">
        <v>201404</v>
      </c>
      <c r="B2555" t="s">
        <v>1402</v>
      </c>
      <c r="C2555" s="5">
        <v>6555042</v>
      </c>
      <c r="D2555" s="2" t="s">
        <v>1411</v>
      </c>
      <c r="E2555" s="2" t="s">
        <v>15</v>
      </c>
      <c r="F2555" s="3">
        <v>56.33</v>
      </c>
      <c r="G2555" t="s">
        <v>110</v>
      </c>
      <c r="H2555" s="1" t="s">
        <v>60</v>
      </c>
      <c r="I2555" t="s">
        <v>1425</v>
      </c>
      <c r="J2555" t="s">
        <v>1403</v>
      </c>
      <c r="K2555" t="s">
        <v>197</v>
      </c>
      <c r="L2555" t="s">
        <v>1404</v>
      </c>
      <c r="M2555">
        <v>902876</v>
      </c>
    </row>
    <row r="2556" spans="1:13" ht="15">
      <c r="A2556" s="4">
        <v>201404</v>
      </c>
      <c r="B2556" t="s">
        <v>1402</v>
      </c>
      <c r="C2556" s="5">
        <v>6555042</v>
      </c>
      <c r="D2556" s="2" t="s">
        <v>1411</v>
      </c>
      <c r="E2556" s="2" t="s">
        <v>15</v>
      </c>
      <c r="F2556" s="3">
        <v>59.94</v>
      </c>
      <c r="G2556" t="s">
        <v>110</v>
      </c>
      <c r="H2556" s="1" t="s">
        <v>60</v>
      </c>
      <c r="I2556" t="s">
        <v>1426</v>
      </c>
      <c r="J2556" t="s">
        <v>1403</v>
      </c>
      <c r="K2556" t="s">
        <v>197</v>
      </c>
      <c r="L2556" t="s">
        <v>1404</v>
      </c>
      <c r="M2556">
        <v>902900</v>
      </c>
    </row>
    <row r="2557" spans="1:13" ht="15">
      <c r="A2557" s="4">
        <v>201404</v>
      </c>
      <c r="B2557" t="s">
        <v>1402</v>
      </c>
      <c r="C2557" s="5">
        <v>6555042</v>
      </c>
      <c r="D2557" s="2" t="s">
        <v>1411</v>
      </c>
      <c r="E2557" s="2" t="s">
        <v>15</v>
      </c>
      <c r="F2557" s="3">
        <v>61.82</v>
      </c>
      <c r="G2557" t="s">
        <v>110</v>
      </c>
      <c r="H2557" s="1" t="s">
        <v>60</v>
      </c>
      <c r="I2557" t="s">
        <v>1427</v>
      </c>
      <c r="J2557" t="s">
        <v>1403</v>
      </c>
      <c r="K2557" t="s">
        <v>197</v>
      </c>
      <c r="L2557" t="s">
        <v>1404</v>
      </c>
      <c r="M2557">
        <v>902900</v>
      </c>
    </row>
    <row r="2558" spans="1:13" ht="15">
      <c r="A2558" s="4">
        <v>201404</v>
      </c>
      <c r="B2558" t="s">
        <v>1402</v>
      </c>
      <c r="C2558" s="5">
        <v>6555042</v>
      </c>
      <c r="D2558" s="2" t="s">
        <v>1411</v>
      </c>
      <c r="E2558" s="2" t="s">
        <v>15</v>
      </c>
      <c r="F2558" s="3">
        <v>65.39</v>
      </c>
      <c r="G2558" t="s">
        <v>110</v>
      </c>
      <c r="H2558" s="1" t="s">
        <v>60</v>
      </c>
      <c r="I2558" t="s">
        <v>1428</v>
      </c>
      <c r="J2558" t="s">
        <v>1403</v>
      </c>
      <c r="K2558" t="s">
        <v>197</v>
      </c>
      <c r="L2558" t="s">
        <v>1404</v>
      </c>
      <c r="M2558">
        <v>902631</v>
      </c>
    </row>
    <row r="2559" spans="1:13" ht="15">
      <c r="A2559" s="4">
        <v>201404</v>
      </c>
      <c r="B2559" t="s">
        <v>1402</v>
      </c>
      <c r="C2559" s="5">
        <v>6555042</v>
      </c>
      <c r="D2559" s="2" t="s">
        <v>1411</v>
      </c>
      <c r="E2559" s="2" t="s">
        <v>15</v>
      </c>
      <c r="F2559" s="3">
        <v>70.46</v>
      </c>
      <c r="G2559" t="s">
        <v>110</v>
      </c>
      <c r="H2559" s="1" t="s">
        <v>60</v>
      </c>
      <c r="I2559" t="s">
        <v>1429</v>
      </c>
      <c r="J2559" t="s">
        <v>1403</v>
      </c>
      <c r="K2559" t="s">
        <v>197</v>
      </c>
      <c r="L2559" t="s">
        <v>1404</v>
      </c>
      <c r="M2559">
        <v>902900</v>
      </c>
    </row>
    <row r="2560" spans="1:14" ht="15">
      <c r="A2560" s="4">
        <v>201404</v>
      </c>
      <c r="B2560" t="s">
        <v>1402</v>
      </c>
      <c r="C2560" s="5">
        <v>6555042</v>
      </c>
      <c r="D2560" s="2" t="s">
        <v>1411</v>
      </c>
      <c r="E2560" s="2" t="s">
        <v>15</v>
      </c>
      <c r="F2560" s="3">
        <v>75</v>
      </c>
      <c r="G2560" t="s">
        <v>57</v>
      </c>
      <c r="H2560" s="1" t="s">
        <v>60</v>
      </c>
      <c r="I2560">
        <f>-13358/5048248/1</f>
        <v>-0.0026460665165419766</v>
      </c>
      <c r="J2560" t="s">
        <v>1403</v>
      </c>
      <c r="K2560" t="s">
        <v>197</v>
      </c>
      <c r="L2560" t="s">
        <v>1404</v>
      </c>
      <c r="N2560" t="s">
        <v>58</v>
      </c>
    </row>
    <row r="2561" spans="1:13" ht="15">
      <c r="A2561" s="4">
        <v>201404</v>
      </c>
      <c r="B2561" t="s">
        <v>1402</v>
      </c>
      <c r="C2561" s="5">
        <v>6555042</v>
      </c>
      <c r="D2561" s="2" t="s">
        <v>1411</v>
      </c>
      <c r="E2561" s="2" t="s">
        <v>15</v>
      </c>
      <c r="F2561" s="3">
        <v>75.26</v>
      </c>
      <c r="G2561" t="s">
        <v>110</v>
      </c>
      <c r="H2561" s="1" t="s">
        <v>60</v>
      </c>
      <c r="I2561" t="s">
        <v>1430</v>
      </c>
      <c r="J2561" t="s">
        <v>1403</v>
      </c>
      <c r="K2561" t="s">
        <v>197</v>
      </c>
      <c r="L2561" t="s">
        <v>1404</v>
      </c>
      <c r="M2561">
        <v>902900</v>
      </c>
    </row>
    <row r="2562" spans="1:13" ht="15">
      <c r="A2562" s="4">
        <v>201404</v>
      </c>
      <c r="B2562" t="s">
        <v>1402</v>
      </c>
      <c r="C2562" s="5">
        <v>6555042</v>
      </c>
      <c r="D2562" s="2" t="s">
        <v>1411</v>
      </c>
      <c r="E2562" s="2" t="s">
        <v>15</v>
      </c>
      <c r="F2562" s="3">
        <v>75.27</v>
      </c>
      <c r="G2562" t="s">
        <v>110</v>
      </c>
      <c r="H2562" s="1" t="s">
        <v>60</v>
      </c>
      <c r="I2562" t="s">
        <v>1431</v>
      </c>
      <c r="J2562" t="s">
        <v>1403</v>
      </c>
      <c r="K2562" t="s">
        <v>197</v>
      </c>
      <c r="L2562" t="s">
        <v>1404</v>
      </c>
      <c r="M2562">
        <v>902900</v>
      </c>
    </row>
    <row r="2563" spans="1:13" ht="15">
      <c r="A2563" s="4">
        <v>201404</v>
      </c>
      <c r="B2563" t="s">
        <v>1402</v>
      </c>
      <c r="C2563" s="5">
        <v>6555042</v>
      </c>
      <c r="D2563" s="2" t="s">
        <v>1411</v>
      </c>
      <c r="E2563" s="2" t="s">
        <v>15</v>
      </c>
      <c r="F2563" s="3">
        <v>150.52</v>
      </c>
      <c r="G2563" t="s">
        <v>110</v>
      </c>
      <c r="H2563" s="1" t="s">
        <v>60</v>
      </c>
      <c r="I2563" t="s">
        <v>1431</v>
      </c>
      <c r="J2563" t="s">
        <v>1403</v>
      </c>
      <c r="K2563" t="s">
        <v>197</v>
      </c>
      <c r="L2563" t="s">
        <v>1404</v>
      </c>
      <c r="M2563">
        <v>902900</v>
      </c>
    </row>
    <row r="2564" spans="1:13" ht="15">
      <c r="A2564" s="4">
        <v>201404</v>
      </c>
      <c r="B2564" t="s">
        <v>1402</v>
      </c>
      <c r="C2564" s="5">
        <v>6555042</v>
      </c>
      <c r="D2564" s="2" t="s">
        <v>1411</v>
      </c>
      <c r="E2564" s="2" t="s">
        <v>15</v>
      </c>
      <c r="F2564" s="3">
        <v>180</v>
      </c>
      <c r="G2564" t="s">
        <v>1432</v>
      </c>
      <c r="H2564" s="1" t="s">
        <v>60</v>
      </c>
      <c r="I2564" t="s">
        <v>1433</v>
      </c>
      <c r="J2564" t="s">
        <v>1403</v>
      </c>
      <c r="K2564" t="s">
        <v>197</v>
      </c>
      <c r="L2564" t="s">
        <v>1404</v>
      </c>
      <c r="M2564">
        <v>902720</v>
      </c>
    </row>
    <row r="2565" spans="1:13" ht="15">
      <c r="A2565" s="4">
        <v>201404</v>
      </c>
      <c r="B2565" t="s">
        <v>1402</v>
      </c>
      <c r="C2565" s="5">
        <v>6555042</v>
      </c>
      <c r="D2565" s="2" t="s">
        <v>1411</v>
      </c>
      <c r="E2565" s="2" t="s">
        <v>15</v>
      </c>
      <c r="F2565" s="3">
        <v>195.51</v>
      </c>
      <c r="G2565" t="s">
        <v>110</v>
      </c>
      <c r="H2565" s="1" t="s">
        <v>60</v>
      </c>
      <c r="I2565" t="s">
        <v>1424</v>
      </c>
      <c r="J2565" t="s">
        <v>1403</v>
      </c>
      <c r="K2565" t="s">
        <v>197</v>
      </c>
      <c r="L2565" t="s">
        <v>1404</v>
      </c>
      <c r="M2565">
        <v>902900</v>
      </c>
    </row>
    <row r="2566" spans="1:13" ht="15">
      <c r="A2566" s="4">
        <v>201404</v>
      </c>
      <c r="B2566" t="s">
        <v>1402</v>
      </c>
      <c r="C2566" s="5">
        <v>6555042</v>
      </c>
      <c r="D2566" s="2" t="s">
        <v>1411</v>
      </c>
      <c r="E2566" s="2" t="s">
        <v>15</v>
      </c>
      <c r="F2566" s="3">
        <v>259.51</v>
      </c>
      <c r="G2566" t="s">
        <v>110</v>
      </c>
      <c r="H2566" s="1" t="s">
        <v>60</v>
      </c>
      <c r="I2566" t="s">
        <v>1434</v>
      </c>
      <c r="J2566" t="s">
        <v>1403</v>
      </c>
      <c r="K2566" t="s">
        <v>197</v>
      </c>
      <c r="L2566" t="s">
        <v>1404</v>
      </c>
      <c r="M2566">
        <v>902900</v>
      </c>
    </row>
    <row r="2567" spans="1:13" ht="15">
      <c r="A2567" s="4">
        <v>201404</v>
      </c>
      <c r="B2567" t="s">
        <v>1402</v>
      </c>
      <c r="C2567" s="5">
        <v>6555042</v>
      </c>
      <c r="D2567" s="2" t="s">
        <v>1411</v>
      </c>
      <c r="E2567" s="2" t="s">
        <v>15</v>
      </c>
      <c r="F2567" s="3">
        <v>1250</v>
      </c>
      <c r="G2567" t="s">
        <v>278</v>
      </c>
      <c r="H2567" s="1" t="s">
        <v>60</v>
      </c>
      <c r="I2567" t="s">
        <v>1435</v>
      </c>
      <c r="J2567" t="s">
        <v>1403</v>
      </c>
      <c r="K2567" t="s">
        <v>197</v>
      </c>
      <c r="L2567" t="s">
        <v>1404</v>
      </c>
      <c r="M2567">
        <v>902849</v>
      </c>
    </row>
    <row r="2568" spans="1:12" ht="15">
      <c r="A2568" s="4">
        <v>201404</v>
      </c>
      <c r="B2568" t="s">
        <v>1402</v>
      </c>
      <c r="C2568" s="5">
        <v>6555042</v>
      </c>
      <c r="D2568" s="2" t="s">
        <v>1411</v>
      </c>
      <c r="E2568" s="2" t="s">
        <v>15</v>
      </c>
      <c r="F2568" s="3">
        <v>1773</v>
      </c>
      <c r="H2568" s="1" t="s">
        <v>60</v>
      </c>
      <c r="I2568" t="s">
        <v>1436</v>
      </c>
      <c r="J2568" t="s">
        <v>1403</v>
      </c>
      <c r="K2568" t="s">
        <v>197</v>
      </c>
      <c r="L2568" t="s">
        <v>1404</v>
      </c>
    </row>
    <row r="2569" spans="1:12" ht="15">
      <c r="A2569" s="4">
        <v>201405</v>
      </c>
      <c r="B2569" t="s">
        <v>1402</v>
      </c>
      <c r="C2569" s="5">
        <v>6555042</v>
      </c>
      <c r="D2569" s="2" t="s">
        <v>1411</v>
      </c>
      <c r="E2569" s="2" t="s">
        <v>15</v>
      </c>
      <c r="F2569" s="3">
        <v>-1773</v>
      </c>
      <c r="H2569" s="1" t="s">
        <v>60</v>
      </c>
      <c r="I2569" t="s">
        <v>1436</v>
      </c>
      <c r="J2569" t="s">
        <v>1403</v>
      </c>
      <c r="K2569" t="s">
        <v>197</v>
      </c>
      <c r="L2569" t="s">
        <v>1404</v>
      </c>
    </row>
    <row r="2570" spans="1:13" ht="15">
      <c r="A2570" s="4">
        <v>201405</v>
      </c>
      <c r="B2570" t="s">
        <v>1402</v>
      </c>
      <c r="C2570" s="5">
        <v>6555042</v>
      </c>
      <c r="D2570" s="2" t="s">
        <v>1411</v>
      </c>
      <c r="E2570" s="2" t="s">
        <v>15</v>
      </c>
      <c r="F2570" s="3">
        <v>-6.25</v>
      </c>
      <c r="G2570" t="s">
        <v>278</v>
      </c>
      <c r="H2570" s="1" t="s">
        <v>60</v>
      </c>
      <c r="I2570" t="s">
        <v>1435</v>
      </c>
      <c r="J2570" t="s">
        <v>1403</v>
      </c>
      <c r="K2570" t="s">
        <v>197</v>
      </c>
      <c r="L2570" t="s">
        <v>1404</v>
      </c>
      <c r="M2570">
        <v>902849</v>
      </c>
    </row>
    <row r="2571" spans="1:14" ht="15">
      <c r="A2571" s="4">
        <v>201405</v>
      </c>
      <c r="B2571" t="s">
        <v>1402</v>
      </c>
      <c r="C2571" s="5">
        <v>6555042</v>
      </c>
      <c r="D2571" s="2" t="s">
        <v>1411</v>
      </c>
      <c r="E2571" s="2" t="s">
        <v>15</v>
      </c>
      <c r="F2571" s="3">
        <v>-0.01</v>
      </c>
      <c r="G2571" t="s">
        <v>57</v>
      </c>
      <c r="H2571" s="1" t="s">
        <v>60</v>
      </c>
      <c r="I2571">
        <f>-72123/4131156/2</f>
        <v>-0.008729154745064093</v>
      </c>
      <c r="J2571" t="s">
        <v>1403</v>
      </c>
      <c r="K2571" t="s">
        <v>197</v>
      </c>
      <c r="L2571" t="s">
        <v>1404</v>
      </c>
      <c r="N2571" t="s">
        <v>58</v>
      </c>
    </row>
    <row r="2572" spans="1:14" ht="15">
      <c r="A2572" s="4">
        <v>201405</v>
      </c>
      <c r="B2572" t="s">
        <v>1402</v>
      </c>
      <c r="C2572" s="5">
        <v>6555042</v>
      </c>
      <c r="D2572" s="2" t="s">
        <v>1411</v>
      </c>
      <c r="E2572" s="2" t="s">
        <v>15</v>
      </c>
      <c r="F2572" s="3">
        <v>0.41</v>
      </c>
      <c r="G2572" t="s">
        <v>57</v>
      </c>
      <c r="H2572" s="1" t="s">
        <v>60</v>
      </c>
      <c r="I2572">
        <f>-72123/41146024/1</f>
        <v>-0.0017528546622147501</v>
      </c>
      <c r="J2572" t="s">
        <v>1403</v>
      </c>
      <c r="K2572" t="s">
        <v>197</v>
      </c>
      <c r="L2572" t="s">
        <v>1404</v>
      </c>
      <c r="N2572" t="s">
        <v>58</v>
      </c>
    </row>
    <row r="2573" spans="1:14" ht="15">
      <c r="A2573" s="4">
        <v>201405</v>
      </c>
      <c r="B2573" t="s">
        <v>1402</v>
      </c>
      <c r="C2573" s="5">
        <v>6555042</v>
      </c>
      <c r="D2573" s="2" t="s">
        <v>1411</v>
      </c>
      <c r="E2573" s="2" t="s">
        <v>15</v>
      </c>
      <c r="F2573" s="3">
        <v>2.45</v>
      </c>
      <c r="G2573" t="s">
        <v>57</v>
      </c>
      <c r="H2573" s="1" t="s">
        <v>60</v>
      </c>
      <c r="I2573">
        <f>-72123/4131148/1</f>
        <v>-0.017458343298279316</v>
      </c>
      <c r="J2573" t="s">
        <v>1403</v>
      </c>
      <c r="K2573" t="s">
        <v>197</v>
      </c>
      <c r="L2573" t="s">
        <v>1404</v>
      </c>
      <c r="N2573" t="s">
        <v>58</v>
      </c>
    </row>
    <row r="2574" spans="1:13" ht="15">
      <c r="A2574" s="4">
        <v>201405</v>
      </c>
      <c r="B2574" t="s">
        <v>1402</v>
      </c>
      <c r="C2574" s="5">
        <v>6555042</v>
      </c>
      <c r="D2574" s="2" t="s">
        <v>1411</v>
      </c>
      <c r="E2574" s="2" t="s">
        <v>15</v>
      </c>
      <c r="F2574" s="3">
        <v>6.83</v>
      </c>
      <c r="G2574" t="s">
        <v>110</v>
      </c>
      <c r="H2574" s="1" t="s">
        <v>60</v>
      </c>
      <c r="I2574" t="s">
        <v>1437</v>
      </c>
      <c r="J2574" t="s">
        <v>1403</v>
      </c>
      <c r="K2574" t="s">
        <v>197</v>
      </c>
      <c r="L2574" t="s">
        <v>1404</v>
      </c>
      <c r="M2574">
        <v>902900</v>
      </c>
    </row>
    <row r="2575" spans="1:14" ht="15">
      <c r="A2575" s="4">
        <v>201405</v>
      </c>
      <c r="B2575" t="s">
        <v>1402</v>
      </c>
      <c r="C2575" s="5">
        <v>6555042</v>
      </c>
      <c r="D2575" s="2" t="s">
        <v>1411</v>
      </c>
      <c r="E2575" s="2" t="s">
        <v>15</v>
      </c>
      <c r="F2575" s="3">
        <v>9.54</v>
      </c>
      <c r="G2575" t="s">
        <v>57</v>
      </c>
      <c r="H2575" s="1" t="s">
        <v>60</v>
      </c>
      <c r="I2575">
        <f>-72123/4135162/1</f>
        <v>-0.017441396491842398</v>
      </c>
      <c r="J2575" t="s">
        <v>1403</v>
      </c>
      <c r="K2575" t="s">
        <v>197</v>
      </c>
      <c r="L2575" t="s">
        <v>1404</v>
      </c>
      <c r="N2575" t="s">
        <v>58</v>
      </c>
    </row>
    <row r="2576" spans="1:14" ht="15">
      <c r="A2576" s="4">
        <v>201405</v>
      </c>
      <c r="B2576" t="s">
        <v>1402</v>
      </c>
      <c r="C2576" s="5">
        <v>6555042</v>
      </c>
      <c r="D2576" s="2" t="s">
        <v>1411</v>
      </c>
      <c r="E2576" s="2" t="s">
        <v>15</v>
      </c>
      <c r="F2576" s="3">
        <v>9.78</v>
      </c>
      <c r="G2576" t="s">
        <v>57</v>
      </c>
      <c r="H2576" s="1" t="s">
        <v>60</v>
      </c>
      <c r="I2576">
        <f>-72123/4146028/1</f>
        <v>-0.017395685702074372</v>
      </c>
      <c r="J2576" t="s">
        <v>1403</v>
      </c>
      <c r="K2576" t="s">
        <v>197</v>
      </c>
      <c r="L2576" t="s">
        <v>1404</v>
      </c>
      <c r="N2576" t="s">
        <v>58</v>
      </c>
    </row>
    <row r="2577" spans="1:13" ht="15">
      <c r="A2577" s="4">
        <v>201405</v>
      </c>
      <c r="B2577" t="s">
        <v>1402</v>
      </c>
      <c r="C2577" s="5">
        <v>6555042</v>
      </c>
      <c r="D2577" s="2" t="s">
        <v>1411</v>
      </c>
      <c r="E2577" s="2" t="s">
        <v>15</v>
      </c>
      <c r="F2577" s="3">
        <v>18.83</v>
      </c>
      <c r="G2577" t="s">
        <v>110</v>
      </c>
      <c r="H2577" s="1" t="s">
        <v>60</v>
      </c>
      <c r="I2577" t="s">
        <v>1438</v>
      </c>
      <c r="J2577" t="s">
        <v>1403</v>
      </c>
      <c r="K2577" t="s">
        <v>197</v>
      </c>
      <c r="L2577" t="s">
        <v>1404</v>
      </c>
      <c r="M2577">
        <v>902811</v>
      </c>
    </row>
    <row r="2578" spans="1:14" ht="15">
      <c r="A2578" s="4">
        <v>201405</v>
      </c>
      <c r="B2578" t="s">
        <v>1402</v>
      </c>
      <c r="C2578" s="5">
        <v>6555042</v>
      </c>
      <c r="D2578" s="2" t="s">
        <v>1411</v>
      </c>
      <c r="E2578" s="2" t="s">
        <v>15</v>
      </c>
      <c r="F2578" s="3">
        <v>19.09</v>
      </c>
      <c r="G2578" t="s">
        <v>57</v>
      </c>
      <c r="H2578" s="1" t="s">
        <v>60</v>
      </c>
      <c r="I2578">
        <f>-72123/4135157/1</f>
        <v>-0.017441417581001158</v>
      </c>
      <c r="J2578" t="s">
        <v>1403</v>
      </c>
      <c r="K2578" t="s">
        <v>197</v>
      </c>
      <c r="L2578" t="s">
        <v>1404</v>
      </c>
      <c r="N2578" t="s">
        <v>58</v>
      </c>
    </row>
    <row r="2579" spans="1:13" ht="15">
      <c r="A2579" s="4">
        <v>201405</v>
      </c>
      <c r="B2579" t="s">
        <v>1402</v>
      </c>
      <c r="C2579" s="5">
        <v>6555042</v>
      </c>
      <c r="D2579" s="2" t="s">
        <v>1411</v>
      </c>
      <c r="E2579" s="2" t="s">
        <v>15</v>
      </c>
      <c r="F2579" s="3">
        <v>22.02</v>
      </c>
      <c r="G2579" t="s">
        <v>110</v>
      </c>
      <c r="H2579" s="1" t="s">
        <v>60</v>
      </c>
      <c r="I2579" t="s">
        <v>1439</v>
      </c>
      <c r="J2579" t="s">
        <v>1403</v>
      </c>
      <c r="K2579" t="s">
        <v>197</v>
      </c>
      <c r="L2579" t="s">
        <v>1404</v>
      </c>
      <c r="M2579">
        <v>902811</v>
      </c>
    </row>
    <row r="2580" spans="1:14" ht="15">
      <c r="A2580" s="4">
        <v>201405</v>
      </c>
      <c r="B2580" t="s">
        <v>1402</v>
      </c>
      <c r="C2580" s="5">
        <v>6555042</v>
      </c>
      <c r="D2580" s="2" t="s">
        <v>1411</v>
      </c>
      <c r="E2580" s="2" t="s">
        <v>15</v>
      </c>
      <c r="F2580" s="3">
        <v>25.63</v>
      </c>
      <c r="G2580" t="s">
        <v>57</v>
      </c>
      <c r="H2580" s="1" t="s">
        <v>60</v>
      </c>
      <c r="I2580">
        <f>-72123/4131156/1</f>
        <v>-0.017458309490128186</v>
      </c>
      <c r="J2580" t="s">
        <v>1403</v>
      </c>
      <c r="K2580" t="s">
        <v>197</v>
      </c>
      <c r="L2580" t="s">
        <v>1404</v>
      </c>
      <c r="N2580" t="s">
        <v>58</v>
      </c>
    </row>
    <row r="2581" spans="1:13" ht="15">
      <c r="A2581" s="4">
        <v>201405</v>
      </c>
      <c r="B2581" t="s">
        <v>1402</v>
      </c>
      <c r="C2581" s="5">
        <v>6555042</v>
      </c>
      <c r="D2581" s="2" t="s">
        <v>1411</v>
      </c>
      <c r="E2581" s="2" t="s">
        <v>15</v>
      </c>
      <c r="F2581" s="3">
        <v>30.11</v>
      </c>
      <c r="G2581" t="s">
        <v>110</v>
      </c>
      <c r="H2581" s="1" t="s">
        <v>60</v>
      </c>
      <c r="I2581" t="s">
        <v>1440</v>
      </c>
      <c r="J2581" t="s">
        <v>1403</v>
      </c>
      <c r="K2581" t="s">
        <v>197</v>
      </c>
      <c r="L2581" t="s">
        <v>1404</v>
      </c>
      <c r="M2581">
        <v>902900</v>
      </c>
    </row>
    <row r="2582" spans="1:13" ht="15">
      <c r="A2582" s="4">
        <v>201405</v>
      </c>
      <c r="B2582" t="s">
        <v>1402</v>
      </c>
      <c r="C2582" s="5">
        <v>6555042</v>
      </c>
      <c r="D2582" s="2" t="s">
        <v>1411</v>
      </c>
      <c r="E2582" s="2" t="s">
        <v>15</v>
      </c>
      <c r="F2582" s="3">
        <v>132.8</v>
      </c>
      <c r="G2582" t="s">
        <v>110</v>
      </c>
      <c r="H2582" s="1" t="s">
        <v>60</v>
      </c>
      <c r="I2582" t="s">
        <v>1423</v>
      </c>
      <c r="J2582" t="s">
        <v>1403</v>
      </c>
      <c r="K2582" t="s">
        <v>197</v>
      </c>
      <c r="L2582" t="s">
        <v>1404</v>
      </c>
      <c r="M2582">
        <v>902900</v>
      </c>
    </row>
    <row r="2583" spans="1:13" ht="15">
      <c r="A2583" s="4">
        <v>201405</v>
      </c>
      <c r="B2583" t="s">
        <v>1402</v>
      </c>
      <c r="C2583" s="5">
        <v>6555042</v>
      </c>
      <c r="D2583" s="2" t="s">
        <v>1411</v>
      </c>
      <c r="E2583" s="2" t="s">
        <v>15</v>
      </c>
      <c r="F2583" s="3">
        <v>155.88</v>
      </c>
      <c r="G2583" t="s">
        <v>110</v>
      </c>
      <c r="H2583" s="1" t="s">
        <v>60</v>
      </c>
      <c r="I2583" t="s">
        <v>1441</v>
      </c>
      <c r="J2583" t="s">
        <v>1403</v>
      </c>
      <c r="K2583" t="s">
        <v>197</v>
      </c>
      <c r="L2583" t="s">
        <v>1404</v>
      </c>
      <c r="M2583">
        <v>902631</v>
      </c>
    </row>
    <row r="2584" spans="1:13" ht="15">
      <c r="A2584" s="4">
        <v>201405</v>
      </c>
      <c r="B2584" t="s">
        <v>1402</v>
      </c>
      <c r="C2584" s="5">
        <v>6555042</v>
      </c>
      <c r="D2584" s="2" t="s">
        <v>1411</v>
      </c>
      <c r="E2584" s="2" t="s">
        <v>15</v>
      </c>
      <c r="F2584" s="3">
        <v>311.77</v>
      </c>
      <c r="G2584" t="s">
        <v>110</v>
      </c>
      <c r="H2584" s="1" t="s">
        <v>60</v>
      </c>
      <c r="I2584" t="s">
        <v>1441</v>
      </c>
      <c r="J2584" t="s">
        <v>1403</v>
      </c>
      <c r="K2584" t="s">
        <v>197</v>
      </c>
      <c r="L2584" t="s">
        <v>1404</v>
      </c>
      <c r="M2584">
        <v>902631</v>
      </c>
    </row>
    <row r="2585" spans="1:13" ht="15">
      <c r="A2585" s="4">
        <v>201405</v>
      </c>
      <c r="B2585" t="s">
        <v>1402</v>
      </c>
      <c r="C2585" s="5">
        <v>6555042</v>
      </c>
      <c r="D2585" s="2" t="s">
        <v>1411</v>
      </c>
      <c r="E2585" s="2" t="s">
        <v>15</v>
      </c>
      <c r="F2585" s="3">
        <v>427</v>
      </c>
      <c r="G2585" t="s">
        <v>110</v>
      </c>
      <c r="H2585" s="1" t="s">
        <v>60</v>
      </c>
      <c r="I2585" t="s">
        <v>1442</v>
      </c>
      <c r="J2585" t="s">
        <v>1403</v>
      </c>
      <c r="K2585" t="s">
        <v>197</v>
      </c>
      <c r="L2585" t="s">
        <v>1404</v>
      </c>
      <c r="M2585">
        <v>903009</v>
      </c>
    </row>
    <row r="2586" spans="1:13" ht="15">
      <c r="A2586" s="4">
        <v>201406</v>
      </c>
      <c r="B2586" t="s">
        <v>1402</v>
      </c>
      <c r="C2586" s="5">
        <v>6555042</v>
      </c>
      <c r="D2586" s="2" t="s">
        <v>1411</v>
      </c>
      <c r="E2586" s="2" t="s">
        <v>15</v>
      </c>
      <c r="F2586" s="3">
        <v>-2.66</v>
      </c>
      <c r="G2586" t="s">
        <v>110</v>
      </c>
      <c r="H2586" s="1" t="s">
        <v>60</v>
      </c>
      <c r="I2586" t="s">
        <v>1423</v>
      </c>
      <c r="J2586" t="s">
        <v>1403</v>
      </c>
      <c r="K2586" t="s">
        <v>197</v>
      </c>
      <c r="L2586" t="s">
        <v>1404</v>
      </c>
      <c r="M2586">
        <v>902900</v>
      </c>
    </row>
    <row r="2587" spans="1:13" ht="15">
      <c r="A2587" s="4">
        <v>201406</v>
      </c>
      <c r="B2587" t="s">
        <v>1402</v>
      </c>
      <c r="C2587" s="5">
        <v>6555042</v>
      </c>
      <c r="D2587" s="2" t="s">
        <v>1411</v>
      </c>
      <c r="E2587" s="2" t="s">
        <v>15</v>
      </c>
      <c r="F2587" s="3">
        <v>-0.6</v>
      </c>
      <c r="G2587" t="s">
        <v>110</v>
      </c>
      <c r="H2587" s="1" t="s">
        <v>60</v>
      </c>
      <c r="I2587" t="s">
        <v>1440</v>
      </c>
      <c r="J2587" t="s">
        <v>1403</v>
      </c>
      <c r="K2587" t="s">
        <v>197</v>
      </c>
      <c r="L2587" t="s">
        <v>1404</v>
      </c>
      <c r="M2587">
        <v>902900</v>
      </c>
    </row>
    <row r="2588" spans="1:13" ht="15">
      <c r="A2588" s="4">
        <v>201406</v>
      </c>
      <c r="B2588" t="s">
        <v>1402</v>
      </c>
      <c r="C2588" s="5">
        <v>6555042</v>
      </c>
      <c r="D2588" s="2" t="s">
        <v>1411</v>
      </c>
      <c r="E2588" s="2" t="s">
        <v>15</v>
      </c>
      <c r="F2588" s="3">
        <v>-0.14</v>
      </c>
      <c r="G2588" t="s">
        <v>110</v>
      </c>
      <c r="H2588" s="1" t="s">
        <v>60</v>
      </c>
      <c r="I2588" t="s">
        <v>1437</v>
      </c>
      <c r="J2588" t="s">
        <v>1403</v>
      </c>
      <c r="K2588" t="s">
        <v>197</v>
      </c>
      <c r="L2588" t="s">
        <v>1404</v>
      </c>
      <c r="M2588">
        <v>902900</v>
      </c>
    </row>
    <row r="2589" spans="1:14" ht="15">
      <c r="A2589" s="4">
        <v>201408</v>
      </c>
      <c r="B2589" t="s">
        <v>1402</v>
      </c>
      <c r="C2589" s="5">
        <v>6555042</v>
      </c>
      <c r="D2589" s="2" t="s">
        <v>1411</v>
      </c>
      <c r="E2589" s="2" t="s">
        <v>15</v>
      </c>
      <c r="F2589" s="3">
        <v>1.76</v>
      </c>
      <c r="G2589" t="s">
        <v>57</v>
      </c>
      <c r="H2589" s="1" t="s">
        <v>60</v>
      </c>
      <c r="I2589">
        <f>-72123/4119034/1</f>
        <v>-0.017509687951106984</v>
      </c>
      <c r="J2589" t="s">
        <v>1403</v>
      </c>
      <c r="K2589" t="s">
        <v>197</v>
      </c>
      <c r="L2589" t="s">
        <v>1404</v>
      </c>
      <c r="N2589" t="s">
        <v>58</v>
      </c>
    </row>
    <row r="2590" spans="1:13" ht="15">
      <c r="A2590" s="4">
        <v>201408</v>
      </c>
      <c r="B2590" t="s">
        <v>1402</v>
      </c>
      <c r="C2590" s="5">
        <v>6555042</v>
      </c>
      <c r="D2590" s="2" t="s">
        <v>1411</v>
      </c>
      <c r="E2590" s="2" t="s">
        <v>15</v>
      </c>
      <c r="F2590" s="3">
        <v>29.31</v>
      </c>
      <c r="G2590" t="s">
        <v>110</v>
      </c>
      <c r="H2590" s="1" t="s">
        <v>60</v>
      </c>
      <c r="I2590" t="s">
        <v>1430</v>
      </c>
      <c r="J2590" t="s">
        <v>1403</v>
      </c>
      <c r="K2590" t="s">
        <v>197</v>
      </c>
      <c r="L2590" t="s">
        <v>1404</v>
      </c>
      <c r="M2590">
        <v>903009</v>
      </c>
    </row>
    <row r="2591" spans="1:14" ht="15">
      <c r="A2591" s="4">
        <v>201404</v>
      </c>
      <c r="B2591" t="s">
        <v>1402</v>
      </c>
      <c r="C2591" s="5">
        <v>6555042</v>
      </c>
      <c r="D2591" s="2" t="s">
        <v>1411</v>
      </c>
      <c r="E2591" s="2" t="s">
        <v>15</v>
      </c>
      <c r="F2591" s="3">
        <v>0.62</v>
      </c>
      <c r="G2591" t="s">
        <v>57</v>
      </c>
      <c r="H2591" s="1" t="s">
        <v>69</v>
      </c>
      <c r="I2591">
        <f>-72123/4122528/1</f>
        <v>-0.017494847821530865</v>
      </c>
      <c r="J2591" t="s">
        <v>1403</v>
      </c>
      <c r="K2591" t="s">
        <v>197</v>
      </c>
      <c r="L2591" t="s">
        <v>1404</v>
      </c>
      <c r="N2591" t="s">
        <v>58</v>
      </c>
    </row>
    <row r="2592" spans="1:12" ht="15">
      <c r="A2592" s="4">
        <v>201404</v>
      </c>
      <c r="B2592" t="s">
        <v>1402</v>
      </c>
      <c r="C2592" s="5">
        <v>6555042</v>
      </c>
      <c r="D2592" s="2" t="s">
        <v>1411</v>
      </c>
      <c r="E2592" s="2" t="s">
        <v>15</v>
      </c>
      <c r="F2592" s="3">
        <v>10.27</v>
      </c>
      <c r="G2592" t="s">
        <v>110</v>
      </c>
      <c r="H2592" s="1" t="s">
        <v>69</v>
      </c>
      <c r="I2592" t="s">
        <v>1443</v>
      </c>
      <c r="J2592" t="s">
        <v>1403</v>
      </c>
      <c r="K2592" t="s">
        <v>197</v>
      </c>
      <c r="L2592" t="s">
        <v>1404</v>
      </c>
    </row>
    <row r="2593" spans="1:14" ht="15">
      <c r="A2593" s="4">
        <v>201408</v>
      </c>
      <c r="B2593" t="s">
        <v>1402</v>
      </c>
      <c r="C2593" s="5">
        <v>6555042</v>
      </c>
      <c r="D2593" s="2" t="s">
        <v>1411</v>
      </c>
      <c r="E2593" s="2" t="s">
        <v>15</v>
      </c>
      <c r="F2593" s="3">
        <v>3.33</v>
      </c>
      <c r="G2593" t="s">
        <v>57</v>
      </c>
      <c r="H2593" s="1" t="s">
        <v>69</v>
      </c>
      <c r="I2593">
        <f>-72123/4119034/1</f>
        <v>-0.017509687951106984</v>
      </c>
      <c r="J2593" t="s">
        <v>1403</v>
      </c>
      <c r="K2593" t="s">
        <v>197</v>
      </c>
      <c r="L2593" t="s">
        <v>1404</v>
      </c>
      <c r="N2593" t="s">
        <v>58</v>
      </c>
    </row>
    <row r="2594" spans="1:12" ht="15">
      <c r="A2594" s="4">
        <v>201408</v>
      </c>
      <c r="B2594" t="s">
        <v>1402</v>
      </c>
      <c r="C2594" s="5">
        <v>6555042</v>
      </c>
      <c r="D2594" s="2" t="s">
        <v>1411</v>
      </c>
      <c r="E2594" s="2" t="s">
        <v>15</v>
      </c>
      <c r="F2594" s="3">
        <v>55.44</v>
      </c>
      <c r="G2594" t="s">
        <v>110</v>
      </c>
      <c r="H2594" s="1" t="s">
        <v>69</v>
      </c>
      <c r="I2594" t="e">
        <f>-freight</f>
        <v>#NAME?</v>
      </c>
      <c r="J2594" t="s">
        <v>1403</v>
      </c>
      <c r="K2594" t="s">
        <v>197</v>
      </c>
      <c r="L2594" t="s">
        <v>1404</v>
      </c>
    </row>
    <row r="2595" spans="1:12" ht="15">
      <c r="A2595" s="4">
        <v>201404</v>
      </c>
      <c r="B2595" t="s">
        <v>1402</v>
      </c>
      <c r="C2595" s="5">
        <v>6560375</v>
      </c>
      <c r="D2595" s="2" t="s">
        <v>1444</v>
      </c>
      <c r="E2595" s="2" t="s">
        <v>15</v>
      </c>
      <c r="F2595" s="3">
        <v>0.99</v>
      </c>
      <c r="H2595" s="1" t="s">
        <v>66</v>
      </c>
      <c r="I2595" t="s">
        <v>67</v>
      </c>
      <c r="J2595" t="s">
        <v>1403</v>
      </c>
      <c r="K2595" t="s">
        <v>197</v>
      </c>
      <c r="L2595" t="s">
        <v>1404</v>
      </c>
    </row>
    <row r="2596" spans="1:12" ht="15">
      <c r="A2596" s="4">
        <v>201405</v>
      </c>
      <c r="B2596" t="s">
        <v>1402</v>
      </c>
      <c r="C2596" s="5">
        <v>6568070</v>
      </c>
      <c r="D2596" s="2" t="s">
        <v>1445</v>
      </c>
      <c r="E2596" s="2" t="s">
        <v>15</v>
      </c>
      <c r="F2596" s="3">
        <v>0.25</v>
      </c>
      <c r="H2596" s="1" t="s">
        <v>66</v>
      </c>
      <c r="I2596" t="s">
        <v>67</v>
      </c>
      <c r="J2596" t="s">
        <v>1403</v>
      </c>
      <c r="K2596" t="s">
        <v>197</v>
      </c>
      <c r="L2596" t="s">
        <v>1404</v>
      </c>
    </row>
    <row r="2597" spans="1:12" ht="15">
      <c r="A2597" s="4">
        <v>201405</v>
      </c>
      <c r="B2597" t="s">
        <v>1402</v>
      </c>
      <c r="C2597" s="5">
        <v>6568232</v>
      </c>
      <c r="D2597" s="2" t="s">
        <v>1446</v>
      </c>
      <c r="E2597" s="2" t="s">
        <v>15</v>
      </c>
      <c r="F2597" s="3">
        <v>0.55</v>
      </c>
      <c r="H2597" s="1" t="s">
        <v>66</v>
      </c>
      <c r="I2597" t="s">
        <v>67</v>
      </c>
      <c r="J2597" t="s">
        <v>1403</v>
      </c>
      <c r="K2597" t="s">
        <v>197</v>
      </c>
      <c r="L2597" t="s">
        <v>1404</v>
      </c>
    </row>
    <row r="2598" spans="1:12" ht="15">
      <c r="A2598" s="4">
        <v>201406</v>
      </c>
      <c r="B2598" t="s">
        <v>1402</v>
      </c>
      <c r="C2598" s="5">
        <v>6568232</v>
      </c>
      <c r="D2598" s="2" t="s">
        <v>1446</v>
      </c>
      <c r="E2598" s="2" t="s">
        <v>15</v>
      </c>
      <c r="F2598" s="3">
        <v>0.81</v>
      </c>
      <c r="H2598" s="1" t="s">
        <v>66</v>
      </c>
      <c r="I2598" t="s">
        <v>67</v>
      </c>
      <c r="J2598" t="s">
        <v>1403</v>
      </c>
      <c r="K2598" t="s">
        <v>197</v>
      </c>
      <c r="L2598" t="s">
        <v>1404</v>
      </c>
    </row>
    <row r="2599" spans="1:14" ht="15">
      <c r="A2599" s="4">
        <v>201408</v>
      </c>
      <c r="B2599" t="s">
        <v>1402</v>
      </c>
      <c r="C2599" s="5">
        <v>6581286</v>
      </c>
      <c r="D2599" s="2" t="s">
        <v>1447</v>
      </c>
      <c r="E2599" s="2" t="s">
        <v>169</v>
      </c>
      <c r="F2599" s="3">
        <v>78.44</v>
      </c>
      <c r="G2599" t="s">
        <v>57</v>
      </c>
      <c r="H2599" s="1" t="s">
        <v>60</v>
      </c>
      <c r="I2599" t="e">
        <f>-16294/KY67761319/1</f>
        <v>#NAME?</v>
      </c>
      <c r="J2599" t="s">
        <v>1403</v>
      </c>
      <c r="K2599" t="s">
        <v>197</v>
      </c>
      <c r="L2599" t="s">
        <v>1404</v>
      </c>
      <c r="N2599" t="s">
        <v>58</v>
      </c>
    </row>
    <row r="2600" spans="1:13" ht="15">
      <c r="A2600" s="4">
        <v>201408</v>
      </c>
      <c r="B2600" t="s">
        <v>1402</v>
      </c>
      <c r="C2600" s="5">
        <v>6581286</v>
      </c>
      <c r="D2600" s="2" t="s">
        <v>1447</v>
      </c>
      <c r="E2600" s="2" t="s">
        <v>169</v>
      </c>
      <c r="F2600" s="3">
        <v>1307.31</v>
      </c>
      <c r="G2600" t="s">
        <v>96</v>
      </c>
      <c r="H2600" s="1" t="s">
        <v>60</v>
      </c>
      <c r="I2600" t="s">
        <v>1448</v>
      </c>
      <c r="J2600" t="s">
        <v>1403</v>
      </c>
      <c r="K2600" t="s">
        <v>197</v>
      </c>
      <c r="L2600" t="s">
        <v>1404</v>
      </c>
      <c r="M2600">
        <v>910625</v>
      </c>
    </row>
    <row r="2601" spans="1:13" ht="15">
      <c r="A2601" s="4">
        <v>201409</v>
      </c>
      <c r="B2601" t="s">
        <v>1402</v>
      </c>
      <c r="C2601" s="5">
        <v>6581286</v>
      </c>
      <c r="D2601" s="2" t="s">
        <v>1447</v>
      </c>
      <c r="E2601" s="2" t="s">
        <v>169</v>
      </c>
      <c r="F2601" s="3">
        <v>-13.07</v>
      </c>
      <c r="G2601" t="s">
        <v>96</v>
      </c>
      <c r="H2601" s="1" t="s">
        <v>60</v>
      </c>
      <c r="I2601" t="s">
        <v>1448</v>
      </c>
      <c r="J2601" t="s">
        <v>1403</v>
      </c>
      <c r="K2601" t="s">
        <v>197</v>
      </c>
      <c r="L2601" t="s">
        <v>1404</v>
      </c>
      <c r="M2601">
        <v>910625</v>
      </c>
    </row>
    <row r="2602" spans="1:14" ht="15">
      <c r="A2602" s="4">
        <v>201409</v>
      </c>
      <c r="B2602" t="s">
        <v>1402</v>
      </c>
      <c r="C2602" s="5">
        <v>6581286</v>
      </c>
      <c r="D2602" s="2" t="s">
        <v>1447</v>
      </c>
      <c r="E2602" s="2" t="s">
        <v>169</v>
      </c>
      <c r="F2602" s="3">
        <v>234.92</v>
      </c>
      <c r="G2602" t="s">
        <v>57</v>
      </c>
      <c r="H2602" s="1" t="s">
        <v>60</v>
      </c>
      <c r="I2602" t="e">
        <f>-16294/KY67761911/1</f>
        <v>#NAME?</v>
      </c>
      <c r="J2602" t="s">
        <v>1403</v>
      </c>
      <c r="K2602" t="s">
        <v>197</v>
      </c>
      <c r="L2602" t="s">
        <v>1404</v>
      </c>
      <c r="N2602" t="s">
        <v>58</v>
      </c>
    </row>
    <row r="2603" spans="1:13" ht="15">
      <c r="A2603" s="4">
        <v>201409</v>
      </c>
      <c r="B2603" t="s">
        <v>1402</v>
      </c>
      <c r="C2603" s="5">
        <v>6581286</v>
      </c>
      <c r="D2603" s="2" t="s">
        <v>1447</v>
      </c>
      <c r="E2603" s="2" t="s">
        <v>169</v>
      </c>
      <c r="F2603" s="3">
        <v>3915.32</v>
      </c>
      <c r="G2603" t="s">
        <v>96</v>
      </c>
      <c r="H2603" s="1" t="s">
        <v>60</v>
      </c>
      <c r="I2603" t="s">
        <v>1449</v>
      </c>
      <c r="J2603" t="s">
        <v>1403</v>
      </c>
      <c r="K2603" t="s">
        <v>197</v>
      </c>
      <c r="L2603" t="s">
        <v>1404</v>
      </c>
      <c r="M2603">
        <v>912248</v>
      </c>
    </row>
    <row r="2604" spans="1:13" ht="15">
      <c r="A2604" s="4">
        <v>201410</v>
      </c>
      <c r="B2604" t="s">
        <v>1402</v>
      </c>
      <c r="C2604" s="5">
        <v>6581286</v>
      </c>
      <c r="D2604" s="2" t="s">
        <v>1447</v>
      </c>
      <c r="E2604" s="2" t="s">
        <v>169</v>
      </c>
      <c r="F2604" s="3">
        <v>-39.15</v>
      </c>
      <c r="G2604" t="s">
        <v>96</v>
      </c>
      <c r="H2604" s="1" t="s">
        <v>60</v>
      </c>
      <c r="I2604" t="s">
        <v>1449</v>
      </c>
      <c r="J2604" t="s">
        <v>1403</v>
      </c>
      <c r="K2604" t="s">
        <v>197</v>
      </c>
      <c r="L2604" t="s">
        <v>1404</v>
      </c>
      <c r="M2604">
        <v>912248</v>
      </c>
    </row>
    <row r="2605" spans="1:14" ht="15">
      <c r="A2605" s="4">
        <v>201408</v>
      </c>
      <c r="B2605" t="s">
        <v>1402</v>
      </c>
      <c r="C2605" s="5">
        <v>6581286</v>
      </c>
      <c r="D2605" s="2" t="s">
        <v>1447</v>
      </c>
      <c r="E2605" s="2" t="s">
        <v>169</v>
      </c>
      <c r="F2605" s="3">
        <v>0.74</v>
      </c>
      <c r="G2605" t="s">
        <v>57</v>
      </c>
      <c r="H2605" s="1" t="s">
        <v>69</v>
      </c>
      <c r="I2605" t="e">
        <f>-16294/KY67761319/1</f>
        <v>#NAME?</v>
      </c>
      <c r="J2605" t="s">
        <v>1403</v>
      </c>
      <c r="K2605" t="s">
        <v>197</v>
      </c>
      <c r="L2605" t="s">
        <v>1404</v>
      </c>
      <c r="N2605" t="s">
        <v>58</v>
      </c>
    </row>
    <row r="2606" spans="1:12" ht="15">
      <c r="A2606" s="4">
        <v>201408</v>
      </c>
      <c r="B2606" t="s">
        <v>1402</v>
      </c>
      <c r="C2606" s="5">
        <v>6581286</v>
      </c>
      <c r="D2606" s="2" t="s">
        <v>1447</v>
      </c>
      <c r="E2606" s="2" t="s">
        <v>169</v>
      </c>
      <c r="F2606" s="3">
        <v>12.36</v>
      </c>
      <c r="G2606" t="s">
        <v>96</v>
      </c>
      <c r="H2606" s="1" t="s">
        <v>69</v>
      </c>
      <c r="I2606" t="e">
        <f>-freight</f>
        <v>#NAME?</v>
      </c>
      <c r="J2606" t="s">
        <v>1403</v>
      </c>
      <c r="K2606" t="s">
        <v>197</v>
      </c>
      <c r="L2606" t="s">
        <v>1404</v>
      </c>
    </row>
    <row r="2607" spans="1:14" ht="15">
      <c r="A2607" s="4">
        <v>201409</v>
      </c>
      <c r="B2607" t="s">
        <v>1402</v>
      </c>
      <c r="C2607" s="5">
        <v>6581286</v>
      </c>
      <c r="D2607" s="2" t="s">
        <v>1447</v>
      </c>
      <c r="E2607" s="2" t="s">
        <v>169</v>
      </c>
      <c r="F2607" s="3">
        <v>8.92</v>
      </c>
      <c r="G2607" t="s">
        <v>57</v>
      </c>
      <c r="H2607" s="1" t="s">
        <v>69</v>
      </c>
      <c r="I2607" t="e">
        <f>-16294/KY67761911/1</f>
        <v>#NAME?</v>
      </c>
      <c r="J2607" t="s">
        <v>1403</v>
      </c>
      <c r="K2607" t="s">
        <v>197</v>
      </c>
      <c r="L2607" t="s">
        <v>1404</v>
      </c>
      <c r="N2607" t="s">
        <v>58</v>
      </c>
    </row>
    <row r="2608" spans="1:12" ht="15">
      <c r="A2608" s="4">
        <v>201409</v>
      </c>
      <c r="B2608" t="s">
        <v>1402</v>
      </c>
      <c r="C2608" s="5">
        <v>6581286</v>
      </c>
      <c r="D2608" s="2" t="s">
        <v>1447</v>
      </c>
      <c r="E2608" s="2" t="s">
        <v>169</v>
      </c>
      <c r="F2608" s="3">
        <v>148.63</v>
      </c>
      <c r="G2608" t="s">
        <v>96</v>
      </c>
      <c r="H2608" s="1" t="s">
        <v>69</v>
      </c>
      <c r="I2608" t="e">
        <f>-freight</f>
        <v>#NAME?</v>
      </c>
      <c r="J2608" t="s">
        <v>1403</v>
      </c>
      <c r="K2608" t="s">
        <v>197</v>
      </c>
      <c r="L2608" t="s">
        <v>1404</v>
      </c>
    </row>
    <row r="2609" spans="1:12" ht="15">
      <c r="A2609" s="4">
        <v>201410</v>
      </c>
      <c r="B2609" t="s">
        <v>1402</v>
      </c>
      <c r="C2609" s="5">
        <v>6612241</v>
      </c>
      <c r="D2609" s="2" t="s">
        <v>1450</v>
      </c>
      <c r="E2609" s="2" t="s">
        <v>169</v>
      </c>
      <c r="F2609" s="3">
        <v>0.84</v>
      </c>
      <c r="H2609" s="1" t="s">
        <v>66</v>
      </c>
      <c r="I2609" t="s">
        <v>67</v>
      </c>
      <c r="J2609" t="s">
        <v>1403</v>
      </c>
      <c r="K2609" t="s">
        <v>197</v>
      </c>
      <c r="L2609" t="s">
        <v>1404</v>
      </c>
    </row>
    <row r="2610" spans="1:12" ht="15">
      <c r="A2610" s="4">
        <v>201412</v>
      </c>
      <c r="B2610" t="s">
        <v>1402</v>
      </c>
      <c r="C2610" s="5">
        <v>6612241</v>
      </c>
      <c r="D2610" s="2" t="s">
        <v>1450</v>
      </c>
      <c r="E2610" s="2" t="s">
        <v>169</v>
      </c>
      <c r="F2610" s="3">
        <v>1.24</v>
      </c>
      <c r="H2610" s="1" t="s">
        <v>66</v>
      </c>
      <c r="I2610" t="s">
        <v>67</v>
      </c>
      <c r="J2610" t="s">
        <v>1403</v>
      </c>
      <c r="K2610" t="s">
        <v>197</v>
      </c>
      <c r="L2610" t="s">
        <v>1404</v>
      </c>
    </row>
    <row r="2611" spans="1:12" ht="15">
      <c r="A2611" s="4">
        <v>201401</v>
      </c>
      <c r="B2611" t="s">
        <v>1451</v>
      </c>
      <c r="C2611" s="5">
        <v>6508200</v>
      </c>
      <c r="D2611" s="2" t="s">
        <v>427</v>
      </c>
      <c r="E2611" s="2" t="s">
        <v>15</v>
      </c>
      <c r="F2611" s="3">
        <v>5.5</v>
      </c>
      <c r="H2611" s="1" t="s">
        <v>14</v>
      </c>
      <c r="I2611" t="s">
        <v>377</v>
      </c>
      <c r="J2611" t="s">
        <v>1452</v>
      </c>
      <c r="K2611" t="s">
        <v>1453</v>
      </c>
      <c r="L2611" t="s">
        <v>1454</v>
      </c>
    </row>
    <row r="2612" spans="1:12" ht="15">
      <c r="A2612" s="4">
        <v>201401</v>
      </c>
      <c r="B2612" t="s">
        <v>1451</v>
      </c>
      <c r="C2612" s="5">
        <v>6508200</v>
      </c>
      <c r="D2612" s="2" t="s">
        <v>427</v>
      </c>
      <c r="E2612" s="2" t="s">
        <v>15</v>
      </c>
      <c r="F2612" s="3">
        <v>9.27</v>
      </c>
      <c r="H2612" s="1" t="s">
        <v>14</v>
      </c>
      <c r="I2612" t="s">
        <v>505</v>
      </c>
      <c r="J2612" t="s">
        <v>1452</v>
      </c>
      <c r="K2612" t="s">
        <v>1453</v>
      </c>
      <c r="L2612" t="s">
        <v>1454</v>
      </c>
    </row>
    <row r="2613" spans="1:12" ht="15">
      <c r="A2613" s="4">
        <v>201401</v>
      </c>
      <c r="B2613" t="s">
        <v>1451</v>
      </c>
      <c r="C2613" s="5">
        <v>6508200</v>
      </c>
      <c r="D2613" s="2" t="s">
        <v>427</v>
      </c>
      <c r="E2613" s="2" t="s">
        <v>15</v>
      </c>
      <c r="F2613" s="3">
        <v>26.96</v>
      </c>
      <c r="H2613" s="1" t="s">
        <v>14</v>
      </c>
      <c r="I2613" t="s">
        <v>90</v>
      </c>
      <c r="J2613" t="s">
        <v>1452</v>
      </c>
      <c r="K2613" t="s">
        <v>1453</v>
      </c>
      <c r="L2613" t="s">
        <v>1454</v>
      </c>
    </row>
    <row r="2614" spans="1:12" ht="15">
      <c r="A2614" s="4">
        <v>201401</v>
      </c>
      <c r="B2614" t="s">
        <v>1451</v>
      </c>
      <c r="C2614" s="5">
        <v>6508200</v>
      </c>
      <c r="D2614" s="2" t="s">
        <v>427</v>
      </c>
      <c r="E2614" s="2" t="s">
        <v>15</v>
      </c>
      <c r="F2614" s="3">
        <v>44</v>
      </c>
      <c r="H2614" s="1" t="s">
        <v>14</v>
      </c>
      <c r="I2614" t="s">
        <v>390</v>
      </c>
      <c r="J2614" t="s">
        <v>1452</v>
      </c>
      <c r="K2614" t="s">
        <v>1453</v>
      </c>
      <c r="L2614" t="s">
        <v>1454</v>
      </c>
    </row>
    <row r="2615" spans="1:12" ht="15">
      <c r="A2615" s="4">
        <v>201401</v>
      </c>
      <c r="B2615" t="s">
        <v>1451</v>
      </c>
      <c r="C2615" s="5">
        <v>6508200</v>
      </c>
      <c r="D2615" s="2" t="s">
        <v>427</v>
      </c>
      <c r="E2615" s="2" t="s">
        <v>15</v>
      </c>
      <c r="F2615" s="3">
        <v>45.92</v>
      </c>
      <c r="H2615" s="1" t="s">
        <v>14</v>
      </c>
      <c r="I2615" t="s">
        <v>1340</v>
      </c>
      <c r="J2615" t="s">
        <v>1452</v>
      </c>
      <c r="K2615" t="s">
        <v>1453</v>
      </c>
      <c r="L2615" t="s">
        <v>1454</v>
      </c>
    </row>
    <row r="2616" spans="1:12" ht="15">
      <c r="A2616" s="4">
        <v>201401</v>
      </c>
      <c r="B2616" t="s">
        <v>1451</v>
      </c>
      <c r="C2616" s="5">
        <v>6508200</v>
      </c>
      <c r="D2616" s="2" t="s">
        <v>427</v>
      </c>
      <c r="E2616" s="2" t="s">
        <v>15</v>
      </c>
      <c r="F2616" s="3">
        <v>83.62</v>
      </c>
      <c r="H2616" s="1" t="s">
        <v>14</v>
      </c>
      <c r="I2616" t="s">
        <v>783</v>
      </c>
      <c r="J2616" t="s">
        <v>1452</v>
      </c>
      <c r="K2616" t="s">
        <v>1453</v>
      </c>
      <c r="L2616" t="s">
        <v>1454</v>
      </c>
    </row>
    <row r="2617" spans="1:12" ht="15">
      <c r="A2617" s="4">
        <v>201401</v>
      </c>
      <c r="B2617" t="s">
        <v>1451</v>
      </c>
      <c r="C2617" s="5">
        <v>6508200</v>
      </c>
      <c r="D2617" s="2" t="s">
        <v>427</v>
      </c>
      <c r="E2617" s="2" t="s">
        <v>15</v>
      </c>
      <c r="F2617" s="3">
        <v>159.5</v>
      </c>
      <c r="H2617" s="1" t="s">
        <v>14</v>
      </c>
      <c r="I2617" t="s">
        <v>89</v>
      </c>
      <c r="J2617" t="s">
        <v>1452</v>
      </c>
      <c r="K2617" t="s">
        <v>1453</v>
      </c>
      <c r="L2617" t="s">
        <v>1454</v>
      </c>
    </row>
    <row r="2618" spans="1:12" ht="15">
      <c r="A2618" s="4">
        <v>201403</v>
      </c>
      <c r="B2618" t="s">
        <v>1451</v>
      </c>
      <c r="C2618" s="5">
        <v>6508200</v>
      </c>
      <c r="D2618" s="2" t="s">
        <v>427</v>
      </c>
      <c r="E2618" s="2" t="s">
        <v>15</v>
      </c>
      <c r="F2618" s="3">
        <v>1.17</v>
      </c>
      <c r="H2618" s="1" t="s">
        <v>14</v>
      </c>
      <c r="I2618" t="s">
        <v>363</v>
      </c>
      <c r="J2618" t="s">
        <v>1452</v>
      </c>
      <c r="K2618" t="s">
        <v>1453</v>
      </c>
      <c r="L2618" t="s">
        <v>1454</v>
      </c>
    </row>
    <row r="2619" spans="1:12" ht="15">
      <c r="A2619" s="4">
        <v>201403</v>
      </c>
      <c r="B2619" t="s">
        <v>1451</v>
      </c>
      <c r="C2619" s="5">
        <v>6508200</v>
      </c>
      <c r="D2619" s="2" t="s">
        <v>427</v>
      </c>
      <c r="E2619" s="2" t="s">
        <v>15</v>
      </c>
      <c r="F2619" s="3">
        <v>8.52</v>
      </c>
      <c r="H2619" s="1" t="s">
        <v>14</v>
      </c>
      <c r="I2619" t="s">
        <v>1455</v>
      </c>
      <c r="J2619" t="s">
        <v>1452</v>
      </c>
      <c r="K2619" t="s">
        <v>1453</v>
      </c>
      <c r="L2619" t="s">
        <v>1454</v>
      </c>
    </row>
    <row r="2620" spans="1:12" ht="15">
      <c r="A2620" s="4">
        <v>201403</v>
      </c>
      <c r="B2620" t="s">
        <v>1451</v>
      </c>
      <c r="C2620" s="5">
        <v>6508200</v>
      </c>
      <c r="D2620" s="2" t="s">
        <v>427</v>
      </c>
      <c r="E2620" s="2" t="s">
        <v>15</v>
      </c>
      <c r="F2620" s="3">
        <v>12.18</v>
      </c>
      <c r="H2620" s="1" t="s">
        <v>14</v>
      </c>
      <c r="I2620" t="s">
        <v>770</v>
      </c>
      <c r="J2620" t="s">
        <v>1452</v>
      </c>
      <c r="K2620" t="s">
        <v>1453</v>
      </c>
      <c r="L2620" t="s">
        <v>1454</v>
      </c>
    </row>
    <row r="2621" spans="1:12" ht="15">
      <c r="A2621" s="4">
        <v>201403</v>
      </c>
      <c r="B2621" t="s">
        <v>1451</v>
      </c>
      <c r="C2621" s="5">
        <v>6508200</v>
      </c>
      <c r="D2621" s="2" t="s">
        <v>427</v>
      </c>
      <c r="E2621" s="2" t="s">
        <v>15</v>
      </c>
      <c r="F2621" s="3">
        <v>19.44</v>
      </c>
      <c r="H2621" s="1" t="s">
        <v>14</v>
      </c>
      <c r="I2621" t="s">
        <v>325</v>
      </c>
      <c r="J2621" t="s">
        <v>1452</v>
      </c>
      <c r="K2621" t="s">
        <v>1453</v>
      </c>
      <c r="L2621" t="s">
        <v>1454</v>
      </c>
    </row>
    <row r="2622" spans="1:12" ht="15">
      <c r="A2622" s="4">
        <v>201403</v>
      </c>
      <c r="B2622" t="s">
        <v>1451</v>
      </c>
      <c r="C2622" s="5">
        <v>6508200</v>
      </c>
      <c r="D2622" s="2" t="s">
        <v>427</v>
      </c>
      <c r="E2622" s="2" t="s">
        <v>15</v>
      </c>
      <c r="F2622" s="3">
        <v>44.73</v>
      </c>
      <c r="H2622" s="1" t="s">
        <v>14</v>
      </c>
      <c r="I2622" t="s">
        <v>1340</v>
      </c>
      <c r="J2622" t="s">
        <v>1452</v>
      </c>
      <c r="K2622" t="s">
        <v>1453</v>
      </c>
      <c r="L2622" t="s">
        <v>1454</v>
      </c>
    </row>
    <row r="2623" spans="1:12" ht="15">
      <c r="A2623" s="4">
        <v>201403</v>
      </c>
      <c r="B2623" t="s">
        <v>1451</v>
      </c>
      <c r="C2623" s="5">
        <v>6508200</v>
      </c>
      <c r="D2623" s="2" t="s">
        <v>427</v>
      </c>
      <c r="E2623" s="2" t="s">
        <v>15</v>
      </c>
      <c r="F2623" s="3">
        <v>64.8</v>
      </c>
      <c r="H2623" s="1" t="s">
        <v>14</v>
      </c>
      <c r="I2623" t="s">
        <v>1456</v>
      </c>
      <c r="J2623" t="s">
        <v>1452</v>
      </c>
      <c r="K2623" t="s">
        <v>1453</v>
      </c>
      <c r="L2623" t="s">
        <v>1454</v>
      </c>
    </row>
    <row r="2624" spans="1:14" ht="15">
      <c r="A2624" s="4">
        <v>201404</v>
      </c>
      <c r="B2624" t="s">
        <v>1451</v>
      </c>
      <c r="C2624" s="5">
        <v>6508200</v>
      </c>
      <c r="D2624" s="2" t="s">
        <v>427</v>
      </c>
      <c r="E2624" s="2" t="s">
        <v>15</v>
      </c>
      <c r="F2624" s="3">
        <v>1176</v>
      </c>
      <c r="G2624" t="s">
        <v>57</v>
      </c>
      <c r="H2624" s="1" t="s">
        <v>44</v>
      </c>
      <c r="I2624">
        <f>-30572/283750/1</f>
        <v>-0.10774273127753305</v>
      </c>
      <c r="J2624" t="s">
        <v>1452</v>
      </c>
      <c r="K2624" t="s">
        <v>1453</v>
      </c>
      <c r="L2624" t="s">
        <v>1454</v>
      </c>
      <c r="N2624" t="s">
        <v>58</v>
      </c>
    </row>
    <row r="2625" spans="1:13" ht="15">
      <c r="A2625" s="4">
        <v>201404</v>
      </c>
      <c r="B2625" t="s">
        <v>1451</v>
      </c>
      <c r="C2625" s="5">
        <v>6508200</v>
      </c>
      <c r="D2625" s="2" t="s">
        <v>427</v>
      </c>
      <c r="E2625" s="2" t="s">
        <v>15</v>
      </c>
      <c r="F2625" s="3">
        <v>19600</v>
      </c>
      <c r="G2625" t="s">
        <v>126</v>
      </c>
      <c r="H2625" s="1" t="s">
        <v>44</v>
      </c>
      <c r="I2625" t="s">
        <v>1457</v>
      </c>
      <c r="J2625" t="s">
        <v>1452</v>
      </c>
      <c r="K2625" t="s">
        <v>1453</v>
      </c>
      <c r="L2625" t="s">
        <v>1454</v>
      </c>
      <c r="M2625">
        <v>892475</v>
      </c>
    </row>
    <row r="2626" spans="1:12" ht="15">
      <c r="A2626" s="4">
        <v>201401</v>
      </c>
      <c r="B2626" t="s">
        <v>1451</v>
      </c>
      <c r="C2626" s="5">
        <v>6508200</v>
      </c>
      <c r="D2626" s="2" t="s">
        <v>427</v>
      </c>
      <c r="E2626" s="2" t="s">
        <v>15</v>
      </c>
      <c r="F2626" s="3">
        <v>120400</v>
      </c>
      <c r="H2626" s="1" t="s">
        <v>78</v>
      </c>
      <c r="I2626" t="s">
        <v>1458</v>
      </c>
      <c r="J2626" t="s">
        <v>1452</v>
      </c>
      <c r="K2626" t="s">
        <v>1453</v>
      </c>
      <c r="L2626" t="s">
        <v>1454</v>
      </c>
    </row>
    <row r="2627" spans="1:12" ht="15">
      <c r="A2627" s="4">
        <v>201402</v>
      </c>
      <c r="B2627" t="s">
        <v>1451</v>
      </c>
      <c r="C2627" s="5">
        <v>6508200</v>
      </c>
      <c r="D2627" s="2" t="s">
        <v>427</v>
      </c>
      <c r="E2627" s="2" t="s">
        <v>15</v>
      </c>
      <c r="F2627" s="3">
        <v>0</v>
      </c>
      <c r="H2627" s="1" t="s">
        <v>78</v>
      </c>
      <c r="I2627" t="s">
        <v>1458</v>
      </c>
      <c r="J2627" t="s">
        <v>1452</v>
      </c>
      <c r="K2627" t="s">
        <v>1453</v>
      </c>
      <c r="L2627" t="s">
        <v>1454</v>
      </c>
    </row>
    <row r="2628" spans="1:12" ht="15">
      <c r="A2628" s="4">
        <v>201403</v>
      </c>
      <c r="B2628" t="s">
        <v>1451</v>
      </c>
      <c r="C2628" s="5">
        <v>6508200</v>
      </c>
      <c r="D2628" s="2" t="s">
        <v>427</v>
      </c>
      <c r="E2628" s="2" t="s">
        <v>15</v>
      </c>
      <c r="F2628" s="3">
        <v>0</v>
      </c>
      <c r="H2628" s="1" t="s">
        <v>78</v>
      </c>
      <c r="I2628" t="s">
        <v>1458</v>
      </c>
      <c r="J2628" t="s">
        <v>1452</v>
      </c>
      <c r="K2628" t="s">
        <v>1453</v>
      </c>
      <c r="L2628" t="s">
        <v>1454</v>
      </c>
    </row>
    <row r="2629" spans="1:12" ht="15">
      <c r="A2629" s="4">
        <v>201404</v>
      </c>
      <c r="B2629" t="s">
        <v>1451</v>
      </c>
      <c r="C2629" s="5">
        <v>6508200</v>
      </c>
      <c r="D2629" s="2" t="s">
        <v>427</v>
      </c>
      <c r="E2629" s="2" t="s">
        <v>15</v>
      </c>
      <c r="F2629" s="3">
        <v>-107644.14</v>
      </c>
      <c r="H2629" s="1" t="s">
        <v>78</v>
      </c>
      <c r="I2629" t="s">
        <v>1458</v>
      </c>
      <c r="J2629" t="s">
        <v>1452</v>
      </c>
      <c r="K2629" t="s">
        <v>1453</v>
      </c>
      <c r="L2629" t="s">
        <v>1454</v>
      </c>
    </row>
    <row r="2630" spans="1:14" ht="15">
      <c r="A2630" s="4">
        <v>201404</v>
      </c>
      <c r="B2630" t="s">
        <v>1451</v>
      </c>
      <c r="C2630" s="5">
        <v>6508200</v>
      </c>
      <c r="D2630" s="2" t="s">
        <v>427</v>
      </c>
      <c r="E2630" s="2" t="s">
        <v>15</v>
      </c>
      <c r="F2630" s="3">
        <v>6458.65</v>
      </c>
      <c r="G2630" t="s">
        <v>57</v>
      </c>
      <c r="H2630" s="1" t="s">
        <v>78</v>
      </c>
      <c r="I2630">
        <f>-30572/283750/1</f>
        <v>-0.10774273127753305</v>
      </c>
      <c r="J2630" t="s">
        <v>1452</v>
      </c>
      <c r="K2630" t="s">
        <v>1453</v>
      </c>
      <c r="L2630" t="s">
        <v>1454</v>
      </c>
      <c r="N2630" t="s">
        <v>58</v>
      </c>
    </row>
    <row r="2631" spans="1:13" ht="15">
      <c r="A2631" s="4">
        <v>201404</v>
      </c>
      <c r="B2631" t="s">
        <v>1451</v>
      </c>
      <c r="C2631" s="5">
        <v>6508200</v>
      </c>
      <c r="D2631" s="2" t="s">
        <v>427</v>
      </c>
      <c r="E2631" s="2" t="s">
        <v>15</v>
      </c>
      <c r="F2631" s="3">
        <v>107644.14</v>
      </c>
      <c r="G2631" t="s">
        <v>126</v>
      </c>
      <c r="H2631" s="1" t="s">
        <v>78</v>
      </c>
      <c r="I2631" t="s">
        <v>1459</v>
      </c>
      <c r="J2631" t="s">
        <v>1452</v>
      </c>
      <c r="K2631" t="s">
        <v>1453</v>
      </c>
      <c r="L2631" t="s">
        <v>1454</v>
      </c>
      <c r="M2631">
        <v>892475</v>
      </c>
    </row>
    <row r="2632" spans="1:12" ht="15">
      <c r="A2632" s="4">
        <v>201405</v>
      </c>
      <c r="B2632" t="s">
        <v>1451</v>
      </c>
      <c r="C2632" s="5">
        <v>6508200</v>
      </c>
      <c r="D2632" s="2" t="s">
        <v>427</v>
      </c>
      <c r="E2632" s="2" t="s">
        <v>15</v>
      </c>
      <c r="F2632" s="3">
        <v>-12755.86</v>
      </c>
      <c r="H2632" s="1" t="s">
        <v>78</v>
      </c>
      <c r="I2632" t="s">
        <v>1458</v>
      </c>
      <c r="J2632" t="s">
        <v>1452</v>
      </c>
      <c r="K2632" t="s">
        <v>1453</v>
      </c>
      <c r="L2632" t="s">
        <v>1454</v>
      </c>
    </row>
    <row r="2633" spans="1:12" ht="15">
      <c r="A2633" s="4">
        <v>201401</v>
      </c>
      <c r="B2633" t="s">
        <v>1451</v>
      </c>
      <c r="C2633" s="5">
        <v>6508200</v>
      </c>
      <c r="D2633" s="2" t="s">
        <v>427</v>
      </c>
      <c r="E2633" s="2" t="s">
        <v>15</v>
      </c>
      <c r="F2633" s="3">
        <v>7.86</v>
      </c>
      <c r="H2633" s="1" t="s">
        <v>66</v>
      </c>
      <c r="I2633" t="s">
        <v>67</v>
      </c>
      <c r="J2633" t="s">
        <v>1452</v>
      </c>
      <c r="K2633" t="s">
        <v>1453</v>
      </c>
      <c r="L2633" t="s">
        <v>1454</v>
      </c>
    </row>
    <row r="2634" spans="1:12" ht="15">
      <c r="A2634" s="4">
        <v>201402</v>
      </c>
      <c r="B2634" t="s">
        <v>1451</v>
      </c>
      <c r="C2634" s="5">
        <v>6508200</v>
      </c>
      <c r="D2634" s="2" t="s">
        <v>427</v>
      </c>
      <c r="E2634" s="2" t="s">
        <v>15</v>
      </c>
      <c r="F2634" s="3">
        <v>2.96</v>
      </c>
      <c r="H2634" s="1" t="s">
        <v>66</v>
      </c>
      <c r="I2634" t="s">
        <v>67</v>
      </c>
      <c r="J2634" t="s">
        <v>1452</v>
      </c>
      <c r="K2634" t="s">
        <v>1453</v>
      </c>
      <c r="L2634" t="s">
        <v>1454</v>
      </c>
    </row>
    <row r="2635" spans="1:14" ht="15">
      <c r="A2635" s="4">
        <v>201403</v>
      </c>
      <c r="B2635" t="s">
        <v>1460</v>
      </c>
      <c r="C2635" s="5">
        <v>6438212</v>
      </c>
      <c r="D2635" s="2" t="s">
        <v>1463</v>
      </c>
      <c r="E2635" s="2" t="s">
        <v>1464</v>
      </c>
      <c r="F2635" s="3">
        <v>116.48</v>
      </c>
      <c r="G2635" t="s">
        <v>57</v>
      </c>
      <c r="H2635" s="1" t="s">
        <v>60</v>
      </c>
      <c r="I2635" t="e">
        <f>-16294/KY67752109/1</f>
        <v>#NAME?</v>
      </c>
      <c r="J2635" t="s">
        <v>1461</v>
      </c>
      <c r="K2635" t="s">
        <v>1184</v>
      </c>
      <c r="L2635" t="s">
        <v>1462</v>
      </c>
      <c r="N2635" t="s">
        <v>58</v>
      </c>
    </row>
    <row r="2636" spans="1:13" ht="15">
      <c r="A2636" s="4">
        <v>201403</v>
      </c>
      <c r="B2636" t="s">
        <v>1460</v>
      </c>
      <c r="C2636" s="5">
        <v>6438212</v>
      </c>
      <c r="D2636" s="2" t="s">
        <v>1463</v>
      </c>
      <c r="E2636" s="2" t="s">
        <v>1464</v>
      </c>
      <c r="F2636" s="3">
        <v>1941.3</v>
      </c>
      <c r="G2636" t="s">
        <v>96</v>
      </c>
      <c r="H2636" s="1" t="s">
        <v>60</v>
      </c>
      <c r="I2636" t="s">
        <v>1465</v>
      </c>
      <c r="J2636" t="s">
        <v>1461</v>
      </c>
      <c r="K2636" t="s">
        <v>1184</v>
      </c>
      <c r="L2636" t="s">
        <v>1462</v>
      </c>
      <c r="M2636">
        <v>880002</v>
      </c>
    </row>
    <row r="2637" spans="1:12" ht="15">
      <c r="A2637" s="4">
        <v>201401</v>
      </c>
      <c r="B2637" t="s">
        <v>1460</v>
      </c>
      <c r="C2637" s="5">
        <v>6522476</v>
      </c>
      <c r="D2637" s="2" t="s">
        <v>1467</v>
      </c>
      <c r="E2637" s="2" t="s">
        <v>1142</v>
      </c>
      <c r="F2637" s="3">
        <v>4330</v>
      </c>
      <c r="H2637" s="1" t="s">
        <v>60</v>
      </c>
      <c r="I2637" t="s">
        <v>1466</v>
      </c>
      <c r="J2637" t="s">
        <v>1461</v>
      </c>
      <c r="K2637" t="s">
        <v>1184</v>
      </c>
      <c r="L2637" t="s">
        <v>1462</v>
      </c>
    </row>
    <row r="2638" spans="1:12" ht="15">
      <c r="A2638" s="4">
        <v>201402</v>
      </c>
      <c r="B2638" t="s">
        <v>1460</v>
      </c>
      <c r="C2638" s="5">
        <v>6522476</v>
      </c>
      <c r="D2638" s="2" t="s">
        <v>1467</v>
      </c>
      <c r="E2638" s="2" t="s">
        <v>1142</v>
      </c>
      <c r="F2638" s="3">
        <v>-4330</v>
      </c>
      <c r="H2638" s="1" t="s">
        <v>60</v>
      </c>
      <c r="I2638" t="s">
        <v>1466</v>
      </c>
      <c r="J2638" t="s">
        <v>1461</v>
      </c>
      <c r="K2638" t="s">
        <v>1184</v>
      </c>
      <c r="L2638" t="s">
        <v>1462</v>
      </c>
    </row>
    <row r="2639" spans="1:14" ht="15">
      <c r="A2639" s="4">
        <v>201402</v>
      </c>
      <c r="B2639" t="s">
        <v>1460</v>
      </c>
      <c r="C2639" s="5">
        <v>6522476</v>
      </c>
      <c r="D2639" s="2" t="s">
        <v>1467</v>
      </c>
      <c r="E2639" s="2" t="s">
        <v>1142</v>
      </c>
      <c r="F2639" s="3">
        <v>259.8</v>
      </c>
      <c r="G2639" t="s">
        <v>57</v>
      </c>
      <c r="H2639" s="1" t="s">
        <v>60</v>
      </c>
      <c r="I2639">
        <f>-51430/56980/1</f>
        <v>-0.9025974025974026</v>
      </c>
      <c r="J2639" t="s">
        <v>1461</v>
      </c>
      <c r="K2639" t="s">
        <v>1184</v>
      </c>
      <c r="L2639" t="s">
        <v>1462</v>
      </c>
      <c r="N2639" t="s">
        <v>58</v>
      </c>
    </row>
    <row r="2640" spans="1:13" ht="15">
      <c r="A2640" s="4">
        <v>201402</v>
      </c>
      <c r="B2640" t="s">
        <v>1460</v>
      </c>
      <c r="C2640" s="5">
        <v>6522476</v>
      </c>
      <c r="D2640" s="2" t="s">
        <v>1467</v>
      </c>
      <c r="E2640" s="2" t="s">
        <v>1142</v>
      </c>
      <c r="F2640" s="3">
        <v>4330</v>
      </c>
      <c r="G2640" t="s">
        <v>949</v>
      </c>
      <c r="H2640" s="1" t="s">
        <v>60</v>
      </c>
      <c r="I2640" t="s">
        <v>1468</v>
      </c>
      <c r="J2640" t="s">
        <v>1461</v>
      </c>
      <c r="K2640" t="s">
        <v>1184</v>
      </c>
      <c r="L2640" t="s">
        <v>1462</v>
      </c>
      <c r="M2640">
        <v>895721</v>
      </c>
    </row>
    <row r="2641" spans="1:14" ht="15">
      <c r="A2641" s="4">
        <v>201402</v>
      </c>
      <c r="B2641" t="s">
        <v>1460</v>
      </c>
      <c r="C2641" s="5">
        <v>6522476</v>
      </c>
      <c r="D2641" s="2" t="s">
        <v>1467</v>
      </c>
      <c r="E2641" s="2" t="s">
        <v>1142</v>
      </c>
      <c r="F2641" s="3">
        <v>2.97</v>
      </c>
      <c r="G2641" t="s">
        <v>57</v>
      </c>
      <c r="H2641" s="1" t="s">
        <v>69</v>
      </c>
      <c r="I2641">
        <f>-51430/56980/1</f>
        <v>-0.9025974025974026</v>
      </c>
      <c r="J2641" t="s">
        <v>1461</v>
      </c>
      <c r="K2641" t="s">
        <v>1184</v>
      </c>
      <c r="L2641" t="s">
        <v>1462</v>
      </c>
      <c r="N2641" t="s">
        <v>58</v>
      </c>
    </row>
    <row r="2642" spans="1:12" ht="15">
      <c r="A2642" s="4">
        <v>201402</v>
      </c>
      <c r="B2642" t="s">
        <v>1460</v>
      </c>
      <c r="C2642" s="5">
        <v>6522476</v>
      </c>
      <c r="D2642" s="2" t="s">
        <v>1467</v>
      </c>
      <c r="E2642" s="2" t="s">
        <v>1142</v>
      </c>
      <c r="F2642" s="3">
        <v>49.58</v>
      </c>
      <c r="G2642" t="s">
        <v>949</v>
      </c>
      <c r="H2642" s="1" t="s">
        <v>69</v>
      </c>
      <c r="I2642" t="e">
        <f>-freight</f>
        <v>#NAME?</v>
      </c>
      <c r="J2642" t="s">
        <v>1461</v>
      </c>
      <c r="K2642" t="s">
        <v>1184</v>
      </c>
      <c r="L2642" t="s">
        <v>1462</v>
      </c>
    </row>
    <row r="2643" spans="1:12" ht="15">
      <c r="A2643" s="4">
        <v>201402</v>
      </c>
      <c r="B2643" t="s">
        <v>1460</v>
      </c>
      <c r="C2643" s="5">
        <v>6547446</v>
      </c>
      <c r="D2643" s="2" t="s">
        <v>1469</v>
      </c>
      <c r="E2643" s="2" t="s">
        <v>15</v>
      </c>
      <c r="F2643" s="3">
        <v>2.29</v>
      </c>
      <c r="H2643" s="1" t="s">
        <v>66</v>
      </c>
      <c r="I2643" t="s">
        <v>67</v>
      </c>
      <c r="J2643" t="s">
        <v>1461</v>
      </c>
      <c r="K2643" t="s">
        <v>1184</v>
      </c>
      <c r="L2643" t="s">
        <v>1462</v>
      </c>
    </row>
    <row r="2644" spans="1:12" ht="15">
      <c r="A2644" s="4">
        <v>201407</v>
      </c>
      <c r="B2644" t="s">
        <v>1460</v>
      </c>
      <c r="C2644" s="5">
        <v>6586018</v>
      </c>
      <c r="D2644" s="2" t="s">
        <v>1470</v>
      </c>
      <c r="E2644" s="2" t="s">
        <v>261</v>
      </c>
      <c r="F2644" s="3">
        <v>0.68</v>
      </c>
      <c r="H2644" s="1" t="s">
        <v>66</v>
      </c>
      <c r="I2644" t="s">
        <v>67</v>
      </c>
      <c r="J2644" t="s">
        <v>1461</v>
      </c>
      <c r="K2644" t="s">
        <v>1184</v>
      </c>
      <c r="L2644" t="s">
        <v>1462</v>
      </c>
    </row>
    <row r="2645" spans="1:14" ht="15">
      <c r="A2645" s="4">
        <v>201408</v>
      </c>
      <c r="B2645" t="s">
        <v>1460</v>
      </c>
      <c r="C2645" s="5">
        <v>6589498</v>
      </c>
      <c r="D2645" s="2" t="s">
        <v>1471</v>
      </c>
      <c r="E2645" s="2" t="s">
        <v>238</v>
      </c>
      <c r="F2645" s="3">
        <v>258.9</v>
      </c>
      <c r="G2645" t="s">
        <v>57</v>
      </c>
      <c r="H2645" s="1" t="s">
        <v>60</v>
      </c>
      <c r="I2645" t="e">
        <f>-53069/POI019361/1</f>
        <v>#NAME?</v>
      </c>
      <c r="J2645" t="s">
        <v>1461</v>
      </c>
      <c r="K2645" t="s">
        <v>1184</v>
      </c>
      <c r="L2645" t="s">
        <v>1462</v>
      </c>
      <c r="N2645" t="s">
        <v>58</v>
      </c>
    </row>
    <row r="2646" spans="1:13" ht="15">
      <c r="A2646" s="4">
        <v>201408</v>
      </c>
      <c r="B2646" t="s">
        <v>1460</v>
      </c>
      <c r="C2646" s="5">
        <v>6589498</v>
      </c>
      <c r="D2646" s="2" t="s">
        <v>1471</v>
      </c>
      <c r="E2646" s="2" t="s">
        <v>238</v>
      </c>
      <c r="F2646" s="3">
        <v>4315</v>
      </c>
      <c r="G2646" t="s">
        <v>897</v>
      </c>
      <c r="H2646" s="1" t="s">
        <v>60</v>
      </c>
      <c r="I2646" t="s">
        <v>1472</v>
      </c>
      <c r="J2646" t="s">
        <v>1461</v>
      </c>
      <c r="K2646" t="s">
        <v>1184</v>
      </c>
      <c r="L2646" t="s">
        <v>1462</v>
      </c>
      <c r="M2646">
        <v>910094</v>
      </c>
    </row>
    <row r="2647" spans="1:12" ht="15">
      <c r="A2647" s="4">
        <v>201409</v>
      </c>
      <c r="B2647" t="s">
        <v>1460</v>
      </c>
      <c r="C2647" s="5">
        <v>6589498</v>
      </c>
      <c r="D2647" s="2" t="s">
        <v>1471</v>
      </c>
      <c r="E2647" s="2" t="s">
        <v>238</v>
      </c>
      <c r="F2647" s="3">
        <v>2.1</v>
      </c>
      <c r="H2647" s="1" t="s">
        <v>66</v>
      </c>
      <c r="I2647" t="s">
        <v>67</v>
      </c>
      <c r="J2647" t="s">
        <v>1461</v>
      </c>
      <c r="K2647" t="s">
        <v>1184</v>
      </c>
      <c r="L2647" t="s">
        <v>1462</v>
      </c>
    </row>
    <row r="2648" spans="1:12" ht="15">
      <c r="A2648" s="4">
        <v>201409</v>
      </c>
      <c r="B2648" t="s">
        <v>1460</v>
      </c>
      <c r="C2648" s="5">
        <v>6607592</v>
      </c>
      <c r="D2648" s="2" t="s">
        <v>1470</v>
      </c>
      <c r="E2648" s="2" t="s">
        <v>238</v>
      </c>
      <c r="F2648" s="3">
        <v>1.12</v>
      </c>
      <c r="H2648" s="1" t="s">
        <v>66</v>
      </c>
      <c r="I2648" t="s">
        <v>67</v>
      </c>
      <c r="J2648" t="s">
        <v>1461</v>
      </c>
      <c r="K2648" t="s">
        <v>1184</v>
      </c>
      <c r="L2648" t="s">
        <v>1462</v>
      </c>
    </row>
    <row r="2649" spans="1:12" ht="15">
      <c r="A2649" s="4">
        <v>201406</v>
      </c>
      <c r="B2649" t="s">
        <v>1473</v>
      </c>
      <c r="C2649" s="5">
        <v>6487843</v>
      </c>
      <c r="D2649" s="2" t="s">
        <v>1477</v>
      </c>
      <c r="E2649" s="2" t="s">
        <v>1478</v>
      </c>
      <c r="F2649" s="3">
        <v>-2710.65</v>
      </c>
      <c r="H2649" s="1" t="s">
        <v>330</v>
      </c>
      <c r="I2649" t="s">
        <v>1474</v>
      </c>
      <c r="J2649" t="s">
        <v>1475</v>
      </c>
      <c r="K2649" t="s">
        <v>1184</v>
      </c>
      <c r="L2649" t="s">
        <v>1476</v>
      </c>
    </row>
    <row r="2650" spans="1:12" ht="15">
      <c r="A2650" s="4">
        <v>201406</v>
      </c>
      <c r="B2650" t="s">
        <v>1473</v>
      </c>
      <c r="C2650" s="5">
        <v>6487843</v>
      </c>
      <c r="D2650" s="2" t="s">
        <v>1477</v>
      </c>
      <c r="E2650" s="2" t="s">
        <v>1478</v>
      </c>
      <c r="F2650" s="3">
        <v>-1005.63</v>
      </c>
      <c r="H2650" s="1" t="s">
        <v>330</v>
      </c>
      <c r="I2650" t="s">
        <v>1479</v>
      </c>
      <c r="J2650" t="s">
        <v>1475</v>
      </c>
      <c r="K2650" t="s">
        <v>1184</v>
      </c>
      <c r="L2650" t="s">
        <v>1476</v>
      </c>
    </row>
    <row r="2651" spans="1:12" ht="15">
      <c r="A2651" s="4">
        <v>201406</v>
      </c>
      <c r="B2651" t="s">
        <v>1473</v>
      </c>
      <c r="C2651" s="5">
        <v>6487843</v>
      </c>
      <c r="D2651" s="2" t="s">
        <v>1477</v>
      </c>
      <c r="E2651" s="2" t="s">
        <v>1478</v>
      </c>
      <c r="F2651" s="3">
        <v>-931.5</v>
      </c>
      <c r="H2651" s="1" t="s">
        <v>330</v>
      </c>
      <c r="I2651" t="s">
        <v>1480</v>
      </c>
      <c r="J2651" t="s">
        <v>1475</v>
      </c>
      <c r="K2651" t="s">
        <v>1184</v>
      </c>
      <c r="L2651" t="s">
        <v>1476</v>
      </c>
    </row>
    <row r="2652" spans="1:12" ht="15">
      <c r="A2652" s="4">
        <v>201406</v>
      </c>
      <c r="B2652" t="s">
        <v>1473</v>
      </c>
      <c r="C2652" s="5">
        <v>6487843</v>
      </c>
      <c r="D2652" s="2" t="s">
        <v>1477</v>
      </c>
      <c r="E2652" s="2" t="s">
        <v>1478</v>
      </c>
      <c r="F2652" s="3">
        <v>-829.2</v>
      </c>
      <c r="H2652" s="1" t="s">
        <v>330</v>
      </c>
      <c r="I2652" t="s">
        <v>1481</v>
      </c>
      <c r="J2652" t="s">
        <v>1475</v>
      </c>
      <c r="K2652" t="s">
        <v>1184</v>
      </c>
      <c r="L2652" t="s">
        <v>1476</v>
      </c>
    </row>
    <row r="2653" spans="1:12" ht="15">
      <c r="A2653" s="4">
        <v>201406</v>
      </c>
      <c r="B2653" t="s">
        <v>1473</v>
      </c>
      <c r="C2653" s="5">
        <v>6487843</v>
      </c>
      <c r="D2653" s="2" t="s">
        <v>1477</v>
      </c>
      <c r="E2653" s="2" t="s">
        <v>1478</v>
      </c>
      <c r="F2653" s="3">
        <v>-606.58</v>
      </c>
      <c r="H2653" s="1" t="s">
        <v>330</v>
      </c>
      <c r="I2653" t="s">
        <v>1482</v>
      </c>
      <c r="J2653" t="s">
        <v>1475</v>
      </c>
      <c r="K2653" t="s">
        <v>1184</v>
      </c>
      <c r="L2653" t="s">
        <v>1476</v>
      </c>
    </row>
    <row r="2654" spans="1:12" ht="15">
      <c r="A2654" s="4">
        <v>201406</v>
      </c>
      <c r="B2654" t="s">
        <v>1473</v>
      </c>
      <c r="C2654" s="5">
        <v>6487843</v>
      </c>
      <c r="D2654" s="2" t="s">
        <v>1477</v>
      </c>
      <c r="E2654" s="2" t="s">
        <v>1478</v>
      </c>
      <c r="F2654" s="3">
        <v>-400</v>
      </c>
      <c r="H2654" s="1" t="s">
        <v>330</v>
      </c>
      <c r="I2654" t="s">
        <v>1483</v>
      </c>
      <c r="J2654" t="s">
        <v>1475</v>
      </c>
      <c r="K2654" t="s">
        <v>1184</v>
      </c>
      <c r="L2654" t="s">
        <v>1476</v>
      </c>
    </row>
    <row r="2655" spans="1:12" ht="15">
      <c r="A2655" s="4">
        <v>201406</v>
      </c>
      <c r="B2655" t="s">
        <v>1473</v>
      </c>
      <c r="C2655" s="5">
        <v>6487843</v>
      </c>
      <c r="D2655" s="2" t="s">
        <v>1477</v>
      </c>
      <c r="E2655" s="2" t="s">
        <v>1478</v>
      </c>
      <c r="F2655" s="3">
        <v>-352.85</v>
      </c>
      <c r="H2655" s="1" t="s">
        <v>330</v>
      </c>
      <c r="I2655" t="s">
        <v>1484</v>
      </c>
      <c r="J2655" t="s">
        <v>1475</v>
      </c>
      <c r="K2655" t="s">
        <v>1184</v>
      </c>
      <c r="L2655" t="s">
        <v>1476</v>
      </c>
    </row>
    <row r="2656" spans="1:12" ht="15">
      <c r="A2656" s="4">
        <v>201406</v>
      </c>
      <c r="B2656" t="s">
        <v>1473</v>
      </c>
      <c r="C2656" s="5">
        <v>6487843</v>
      </c>
      <c r="D2656" s="2" t="s">
        <v>1477</v>
      </c>
      <c r="E2656" s="2" t="s">
        <v>1478</v>
      </c>
      <c r="F2656" s="3">
        <v>-254.26</v>
      </c>
      <c r="H2656" s="1" t="s">
        <v>330</v>
      </c>
      <c r="I2656" t="s">
        <v>1485</v>
      </c>
      <c r="J2656" t="s">
        <v>1475</v>
      </c>
      <c r="K2656" t="s">
        <v>1184</v>
      </c>
      <c r="L2656" t="s">
        <v>1476</v>
      </c>
    </row>
    <row r="2657" spans="1:12" ht="15">
      <c r="A2657" s="4">
        <v>201406</v>
      </c>
      <c r="B2657" t="s">
        <v>1473</v>
      </c>
      <c r="C2657" s="5">
        <v>6487843</v>
      </c>
      <c r="D2657" s="2" t="s">
        <v>1477</v>
      </c>
      <c r="E2657" s="2" t="s">
        <v>1478</v>
      </c>
      <c r="F2657" s="3">
        <v>-240.77</v>
      </c>
      <c r="H2657" s="1" t="s">
        <v>330</v>
      </c>
      <c r="I2657" t="s">
        <v>1486</v>
      </c>
      <c r="J2657" t="s">
        <v>1475</v>
      </c>
      <c r="K2657" t="s">
        <v>1184</v>
      </c>
      <c r="L2657" t="s">
        <v>1476</v>
      </c>
    </row>
    <row r="2658" spans="1:12" ht="15">
      <c r="A2658" s="4">
        <v>201406</v>
      </c>
      <c r="B2658" t="s">
        <v>1473</v>
      </c>
      <c r="C2658" s="5">
        <v>6487843</v>
      </c>
      <c r="D2658" s="2" t="s">
        <v>1477</v>
      </c>
      <c r="E2658" s="2" t="s">
        <v>1478</v>
      </c>
      <c r="F2658" s="3">
        <v>-223.13</v>
      </c>
      <c r="H2658" s="1" t="s">
        <v>330</v>
      </c>
      <c r="I2658" t="s">
        <v>1487</v>
      </c>
      <c r="J2658" t="s">
        <v>1475</v>
      </c>
      <c r="K2658" t="s">
        <v>1184</v>
      </c>
      <c r="L2658" t="s">
        <v>1476</v>
      </c>
    </row>
    <row r="2659" spans="1:13" ht="15">
      <c r="A2659" s="4">
        <v>201403</v>
      </c>
      <c r="B2659" t="s">
        <v>1473</v>
      </c>
      <c r="C2659" s="5">
        <v>6520696</v>
      </c>
      <c r="D2659" s="2" t="s">
        <v>1490</v>
      </c>
      <c r="E2659" s="2" t="s">
        <v>15</v>
      </c>
      <c r="F2659" s="3">
        <v>3016.91</v>
      </c>
      <c r="G2659" t="s">
        <v>1488</v>
      </c>
      <c r="H2659" s="1" t="s">
        <v>44</v>
      </c>
      <c r="I2659" t="s">
        <v>1489</v>
      </c>
      <c r="J2659" t="s">
        <v>1475</v>
      </c>
      <c r="K2659" t="s">
        <v>1184</v>
      </c>
      <c r="L2659" t="s">
        <v>1476</v>
      </c>
      <c r="M2659">
        <v>897242</v>
      </c>
    </row>
    <row r="2660" spans="1:12" ht="15">
      <c r="A2660" s="4">
        <v>201402</v>
      </c>
      <c r="B2660" t="s">
        <v>1473</v>
      </c>
      <c r="C2660" s="5">
        <v>6520697</v>
      </c>
      <c r="D2660" s="2" t="s">
        <v>1491</v>
      </c>
      <c r="E2660" s="2" t="s">
        <v>15</v>
      </c>
      <c r="F2660" s="3">
        <v>0.59</v>
      </c>
      <c r="H2660" s="1" t="s">
        <v>66</v>
      </c>
      <c r="I2660" t="s">
        <v>67</v>
      </c>
      <c r="J2660" t="s">
        <v>1475</v>
      </c>
      <c r="K2660" t="s">
        <v>1184</v>
      </c>
      <c r="L2660" t="s">
        <v>1476</v>
      </c>
    </row>
    <row r="2661" spans="1:12" ht="15">
      <c r="A2661" s="4">
        <v>201401</v>
      </c>
      <c r="B2661" t="s">
        <v>1473</v>
      </c>
      <c r="C2661" s="5">
        <v>6535709</v>
      </c>
      <c r="D2661" s="2" t="s">
        <v>825</v>
      </c>
      <c r="E2661" s="2" t="s">
        <v>15</v>
      </c>
      <c r="F2661" s="3">
        <v>1.28</v>
      </c>
      <c r="H2661" s="1" t="s">
        <v>14</v>
      </c>
      <c r="I2661" t="s">
        <v>363</v>
      </c>
      <c r="J2661" t="s">
        <v>1475</v>
      </c>
      <c r="K2661" t="s">
        <v>1184</v>
      </c>
      <c r="L2661" t="s">
        <v>1476</v>
      </c>
    </row>
    <row r="2662" spans="1:12" ht="15">
      <c r="A2662" s="4">
        <v>201401</v>
      </c>
      <c r="B2662" t="s">
        <v>1473</v>
      </c>
      <c r="C2662" s="5">
        <v>6535709</v>
      </c>
      <c r="D2662" s="2" t="s">
        <v>825</v>
      </c>
      <c r="E2662" s="2" t="s">
        <v>15</v>
      </c>
      <c r="F2662" s="3">
        <v>1.62</v>
      </c>
      <c r="H2662" s="1" t="s">
        <v>14</v>
      </c>
      <c r="I2662" t="s">
        <v>1492</v>
      </c>
      <c r="J2662" t="s">
        <v>1475</v>
      </c>
      <c r="K2662" t="s">
        <v>1184</v>
      </c>
      <c r="L2662" t="s">
        <v>1476</v>
      </c>
    </row>
    <row r="2663" spans="1:12" ht="15">
      <c r="A2663" s="4">
        <v>201401</v>
      </c>
      <c r="B2663" t="s">
        <v>1473</v>
      </c>
      <c r="C2663" s="5">
        <v>6535709</v>
      </c>
      <c r="D2663" s="2" t="s">
        <v>825</v>
      </c>
      <c r="E2663" s="2" t="s">
        <v>15</v>
      </c>
      <c r="F2663" s="3">
        <v>10.38</v>
      </c>
      <c r="H2663" s="1" t="s">
        <v>14</v>
      </c>
      <c r="I2663" t="s">
        <v>319</v>
      </c>
      <c r="J2663" t="s">
        <v>1475</v>
      </c>
      <c r="K2663" t="s">
        <v>1184</v>
      </c>
      <c r="L2663" t="s">
        <v>1476</v>
      </c>
    </row>
    <row r="2664" spans="1:12" ht="15">
      <c r="A2664" s="4">
        <v>201401</v>
      </c>
      <c r="B2664" t="s">
        <v>1473</v>
      </c>
      <c r="C2664" s="5">
        <v>6535709</v>
      </c>
      <c r="D2664" s="2" t="s">
        <v>825</v>
      </c>
      <c r="E2664" s="2" t="s">
        <v>15</v>
      </c>
      <c r="F2664" s="3">
        <v>0.19</v>
      </c>
      <c r="H2664" s="1" t="s">
        <v>66</v>
      </c>
      <c r="I2664" t="s">
        <v>67</v>
      </c>
      <c r="J2664" t="s">
        <v>1475</v>
      </c>
      <c r="K2664" t="s">
        <v>1184</v>
      </c>
      <c r="L2664" t="s">
        <v>1476</v>
      </c>
    </row>
    <row r="2665" spans="1:12" ht="15">
      <c r="A2665" s="4">
        <v>201402</v>
      </c>
      <c r="B2665" t="s">
        <v>1473</v>
      </c>
      <c r="C2665" s="5">
        <v>6542554</v>
      </c>
      <c r="D2665" s="2" t="s">
        <v>1493</v>
      </c>
      <c r="E2665" s="2" t="s">
        <v>131</v>
      </c>
      <c r="F2665" s="3">
        <v>22.4</v>
      </c>
      <c r="H2665" s="1" t="s">
        <v>14</v>
      </c>
      <c r="I2665" t="s">
        <v>990</v>
      </c>
      <c r="J2665" t="s">
        <v>1475</v>
      </c>
      <c r="K2665" t="s">
        <v>1184</v>
      </c>
      <c r="L2665" t="s">
        <v>1476</v>
      </c>
    </row>
    <row r="2666" spans="1:12" ht="15">
      <c r="A2666" s="4">
        <v>201402</v>
      </c>
      <c r="B2666" t="s">
        <v>1473</v>
      </c>
      <c r="C2666" s="5">
        <v>6542554</v>
      </c>
      <c r="D2666" s="2" t="s">
        <v>1493</v>
      </c>
      <c r="E2666" s="2" t="s">
        <v>131</v>
      </c>
      <c r="F2666" s="3">
        <v>27</v>
      </c>
      <c r="H2666" s="1" t="s">
        <v>14</v>
      </c>
      <c r="I2666" t="s">
        <v>90</v>
      </c>
      <c r="J2666" t="s">
        <v>1475</v>
      </c>
      <c r="K2666" t="s">
        <v>1184</v>
      </c>
      <c r="L2666" t="s">
        <v>1476</v>
      </c>
    </row>
    <row r="2667" spans="1:12" ht="15">
      <c r="A2667" s="4">
        <v>201402</v>
      </c>
      <c r="B2667" t="s">
        <v>1473</v>
      </c>
      <c r="C2667" s="5">
        <v>6542554</v>
      </c>
      <c r="D2667" s="2" t="s">
        <v>1493</v>
      </c>
      <c r="E2667" s="2" t="s">
        <v>131</v>
      </c>
      <c r="F2667" s="3">
        <v>0.67</v>
      </c>
      <c r="H2667" s="1" t="s">
        <v>66</v>
      </c>
      <c r="I2667" t="s">
        <v>67</v>
      </c>
      <c r="J2667" t="s">
        <v>1475</v>
      </c>
      <c r="K2667" t="s">
        <v>1184</v>
      </c>
      <c r="L2667" t="s">
        <v>1476</v>
      </c>
    </row>
    <row r="2668" spans="1:12" ht="15">
      <c r="A2668" s="4">
        <v>201403</v>
      </c>
      <c r="B2668" t="s">
        <v>1473</v>
      </c>
      <c r="C2668" s="5">
        <v>6544359</v>
      </c>
      <c r="D2668" s="2" t="s">
        <v>971</v>
      </c>
      <c r="E2668" s="2" t="s">
        <v>15</v>
      </c>
      <c r="F2668" s="3">
        <v>10920</v>
      </c>
      <c r="H2668" s="1" t="s">
        <v>60</v>
      </c>
      <c r="I2668" t="s">
        <v>1494</v>
      </c>
      <c r="J2668" t="s">
        <v>1475</v>
      </c>
      <c r="K2668" t="s">
        <v>1184</v>
      </c>
      <c r="L2668" t="s">
        <v>1476</v>
      </c>
    </row>
    <row r="2669" spans="1:12" ht="15">
      <c r="A2669" s="4">
        <v>201404</v>
      </c>
      <c r="B2669" t="s">
        <v>1473</v>
      </c>
      <c r="C2669" s="5">
        <v>6544359</v>
      </c>
      <c r="D2669" s="2" t="s">
        <v>971</v>
      </c>
      <c r="E2669" s="2" t="s">
        <v>15</v>
      </c>
      <c r="F2669" s="3">
        <v>-10920</v>
      </c>
      <c r="H2669" s="1" t="s">
        <v>60</v>
      </c>
      <c r="I2669" t="s">
        <v>1494</v>
      </c>
      <c r="J2669" t="s">
        <v>1475</v>
      </c>
      <c r="K2669" t="s">
        <v>1184</v>
      </c>
      <c r="L2669" t="s">
        <v>1476</v>
      </c>
    </row>
    <row r="2670" spans="1:14" ht="15">
      <c r="A2670" s="4">
        <v>201404</v>
      </c>
      <c r="B2670" t="s">
        <v>1473</v>
      </c>
      <c r="C2670" s="5">
        <v>6544359</v>
      </c>
      <c r="D2670" s="2" t="s">
        <v>971</v>
      </c>
      <c r="E2670" s="2" t="s">
        <v>15</v>
      </c>
      <c r="F2670" s="3">
        <v>709.8</v>
      </c>
      <c r="G2670" t="s">
        <v>57</v>
      </c>
      <c r="H2670" s="1" t="s">
        <v>60</v>
      </c>
      <c r="I2670">
        <f>-18016/817968/1</f>
        <v>-0.022025311503628502</v>
      </c>
      <c r="J2670" t="s">
        <v>1475</v>
      </c>
      <c r="K2670" t="s">
        <v>1184</v>
      </c>
      <c r="L2670" t="s">
        <v>1476</v>
      </c>
      <c r="N2670" t="s">
        <v>58</v>
      </c>
    </row>
    <row r="2671" spans="1:13" ht="15">
      <c r="A2671" s="4">
        <v>201404</v>
      </c>
      <c r="B2671" t="s">
        <v>1473</v>
      </c>
      <c r="C2671" s="5">
        <v>6544359</v>
      </c>
      <c r="D2671" s="2" t="s">
        <v>971</v>
      </c>
      <c r="E2671" s="2" t="s">
        <v>15</v>
      </c>
      <c r="F2671" s="3">
        <v>910</v>
      </c>
      <c r="G2671" t="s">
        <v>294</v>
      </c>
      <c r="H2671" s="1" t="s">
        <v>60</v>
      </c>
      <c r="I2671" t="e">
        <f>-Spacing Rings</f>
        <v>#NAME?</v>
      </c>
      <c r="J2671" t="s">
        <v>1475</v>
      </c>
      <c r="K2671" t="s">
        <v>1184</v>
      </c>
      <c r="L2671" t="s">
        <v>1476</v>
      </c>
      <c r="M2671">
        <v>899952</v>
      </c>
    </row>
    <row r="2672" spans="1:13" ht="15">
      <c r="A2672" s="4">
        <v>201404</v>
      </c>
      <c r="B2672" t="s">
        <v>1473</v>
      </c>
      <c r="C2672" s="5">
        <v>6544359</v>
      </c>
      <c r="D2672" s="2" t="s">
        <v>971</v>
      </c>
      <c r="E2672" s="2" t="s">
        <v>15</v>
      </c>
      <c r="F2672" s="3">
        <v>4200</v>
      </c>
      <c r="G2672" t="s">
        <v>294</v>
      </c>
      <c r="H2672" s="1" t="s">
        <v>60</v>
      </c>
      <c r="I2672" t="e">
        <f>-PRESSURE SEAL GASKET</f>
        <v>#NAME?</v>
      </c>
      <c r="J2672" t="s">
        <v>1475</v>
      </c>
      <c r="K2672" t="s">
        <v>1184</v>
      </c>
      <c r="L2672" t="s">
        <v>1476</v>
      </c>
      <c r="M2672">
        <v>899952</v>
      </c>
    </row>
    <row r="2673" spans="1:13" ht="15">
      <c r="A2673" s="4">
        <v>201404</v>
      </c>
      <c r="B2673" t="s">
        <v>1473</v>
      </c>
      <c r="C2673" s="5">
        <v>6544359</v>
      </c>
      <c r="D2673" s="2" t="s">
        <v>971</v>
      </c>
      <c r="E2673" s="2" t="s">
        <v>15</v>
      </c>
      <c r="F2673" s="3">
        <v>6720</v>
      </c>
      <c r="G2673" t="s">
        <v>294</v>
      </c>
      <c r="H2673" s="1" t="s">
        <v>60</v>
      </c>
      <c r="I2673" t="e">
        <f>-Gear Operator FOR Velan VALVE</f>
        <v>#NAME?</v>
      </c>
      <c r="J2673" t="s">
        <v>1475</v>
      </c>
      <c r="K2673" t="s">
        <v>1184</v>
      </c>
      <c r="L2673" t="s">
        <v>1476</v>
      </c>
      <c r="M2673">
        <v>899952</v>
      </c>
    </row>
    <row r="2674" spans="1:14" ht="15">
      <c r="A2674" s="4">
        <v>201404</v>
      </c>
      <c r="B2674" t="s">
        <v>1473</v>
      </c>
      <c r="C2674" s="5">
        <v>6544359</v>
      </c>
      <c r="D2674" s="2" t="s">
        <v>971</v>
      </c>
      <c r="E2674" s="2" t="s">
        <v>15</v>
      </c>
      <c r="F2674" s="3">
        <v>14.47</v>
      </c>
      <c r="G2674" t="s">
        <v>57</v>
      </c>
      <c r="H2674" s="1" t="s">
        <v>69</v>
      </c>
      <c r="I2674">
        <f>-18016/817968/1</f>
        <v>-0.022025311503628502</v>
      </c>
      <c r="J2674" t="s">
        <v>1475</v>
      </c>
      <c r="K2674" t="s">
        <v>1184</v>
      </c>
      <c r="L2674" t="s">
        <v>1476</v>
      </c>
      <c r="N2674" t="s">
        <v>58</v>
      </c>
    </row>
    <row r="2675" spans="1:12" ht="15">
      <c r="A2675" s="4">
        <v>201404</v>
      </c>
      <c r="B2675" t="s">
        <v>1473</v>
      </c>
      <c r="C2675" s="5">
        <v>6544359</v>
      </c>
      <c r="D2675" s="2" t="s">
        <v>971</v>
      </c>
      <c r="E2675" s="2" t="s">
        <v>15</v>
      </c>
      <c r="F2675" s="3">
        <v>241.19</v>
      </c>
      <c r="G2675" t="s">
        <v>294</v>
      </c>
      <c r="H2675" s="1" t="s">
        <v>69</v>
      </c>
      <c r="I2675" t="e">
        <f>-freight</f>
        <v>#NAME?</v>
      </c>
      <c r="J2675" t="s">
        <v>1475</v>
      </c>
      <c r="K2675" t="s">
        <v>1184</v>
      </c>
      <c r="L2675" t="s">
        <v>1476</v>
      </c>
    </row>
    <row r="2676" spans="1:12" ht="15">
      <c r="A2676" s="4">
        <v>201403</v>
      </c>
      <c r="B2676" t="s">
        <v>1473</v>
      </c>
      <c r="C2676" s="5">
        <v>6548547</v>
      </c>
      <c r="D2676" s="2" t="s">
        <v>1041</v>
      </c>
      <c r="E2676" s="2" t="s">
        <v>15</v>
      </c>
      <c r="F2676" s="3">
        <v>10.38</v>
      </c>
      <c r="H2676" s="1" t="s">
        <v>14</v>
      </c>
      <c r="I2676" t="s">
        <v>319</v>
      </c>
      <c r="J2676" t="s">
        <v>1475</v>
      </c>
      <c r="K2676" t="s">
        <v>1184</v>
      </c>
      <c r="L2676" t="s">
        <v>1476</v>
      </c>
    </row>
    <row r="2677" spans="1:12" ht="15">
      <c r="A2677" s="4">
        <v>201403</v>
      </c>
      <c r="B2677" t="s">
        <v>1473</v>
      </c>
      <c r="C2677" s="5">
        <v>6548547</v>
      </c>
      <c r="D2677" s="2" t="s">
        <v>1041</v>
      </c>
      <c r="E2677" s="2" t="s">
        <v>15</v>
      </c>
      <c r="F2677" s="3">
        <v>19.35</v>
      </c>
      <c r="H2677" s="1" t="s">
        <v>14</v>
      </c>
      <c r="I2677" t="s">
        <v>311</v>
      </c>
      <c r="J2677" t="s">
        <v>1475</v>
      </c>
      <c r="K2677" t="s">
        <v>1184</v>
      </c>
      <c r="L2677" t="s">
        <v>1476</v>
      </c>
    </row>
    <row r="2678" spans="1:12" ht="15">
      <c r="A2678" s="4">
        <v>201403</v>
      </c>
      <c r="B2678" t="s">
        <v>1473</v>
      </c>
      <c r="C2678" s="5">
        <v>6548547</v>
      </c>
      <c r="D2678" s="2" t="s">
        <v>1041</v>
      </c>
      <c r="E2678" s="2" t="s">
        <v>15</v>
      </c>
      <c r="F2678" s="3">
        <v>45.98</v>
      </c>
      <c r="H2678" s="1" t="s">
        <v>14</v>
      </c>
      <c r="I2678" t="s">
        <v>520</v>
      </c>
      <c r="J2678" t="s">
        <v>1475</v>
      </c>
      <c r="K2678" t="s">
        <v>1184</v>
      </c>
      <c r="L2678" t="s">
        <v>1476</v>
      </c>
    </row>
    <row r="2679" spans="1:13" ht="15">
      <c r="A2679" s="4">
        <v>201405</v>
      </c>
      <c r="B2679" t="s">
        <v>1473</v>
      </c>
      <c r="C2679" s="5">
        <v>6548547</v>
      </c>
      <c r="D2679" s="2" t="s">
        <v>1041</v>
      </c>
      <c r="E2679" s="2" t="s">
        <v>15</v>
      </c>
      <c r="F2679" s="3">
        <v>366.99</v>
      </c>
      <c r="G2679" t="s">
        <v>73</v>
      </c>
      <c r="H2679" s="1" t="s">
        <v>46</v>
      </c>
      <c r="I2679" t="s">
        <v>95</v>
      </c>
      <c r="J2679" t="s">
        <v>1475</v>
      </c>
      <c r="K2679" t="s">
        <v>1184</v>
      </c>
      <c r="L2679" t="s">
        <v>1476</v>
      </c>
      <c r="M2679">
        <v>904872</v>
      </c>
    </row>
    <row r="2680" spans="1:14" ht="15">
      <c r="A2680" s="4">
        <v>201403</v>
      </c>
      <c r="B2680" t="s">
        <v>1473</v>
      </c>
      <c r="C2680" s="5">
        <v>6548547</v>
      </c>
      <c r="D2680" s="2" t="s">
        <v>1041</v>
      </c>
      <c r="E2680" s="2" t="s">
        <v>15</v>
      </c>
      <c r="F2680" s="3">
        <v>7.75</v>
      </c>
      <c r="G2680" t="s">
        <v>57</v>
      </c>
      <c r="H2680" s="1" t="s">
        <v>60</v>
      </c>
      <c r="I2680">
        <f>-70891/317015/1</f>
        <v>-0.2236203334227087</v>
      </c>
      <c r="J2680" t="s">
        <v>1475</v>
      </c>
      <c r="K2680" t="s">
        <v>1184</v>
      </c>
      <c r="L2680" t="s">
        <v>1476</v>
      </c>
      <c r="N2680" t="s">
        <v>58</v>
      </c>
    </row>
    <row r="2681" spans="1:14" ht="15">
      <c r="A2681" s="4">
        <v>201403</v>
      </c>
      <c r="B2681" t="s">
        <v>1473</v>
      </c>
      <c r="C2681" s="5">
        <v>6548547</v>
      </c>
      <c r="D2681" s="2" t="s">
        <v>1041</v>
      </c>
      <c r="E2681" s="2" t="s">
        <v>15</v>
      </c>
      <c r="F2681" s="3">
        <v>40.59</v>
      </c>
      <c r="G2681" t="s">
        <v>57</v>
      </c>
      <c r="H2681" s="1" t="s">
        <v>60</v>
      </c>
      <c r="I2681">
        <f>-70891/317073/1</f>
        <v>-0.22357942808123052</v>
      </c>
      <c r="J2681" t="s">
        <v>1475</v>
      </c>
      <c r="K2681" t="s">
        <v>1184</v>
      </c>
      <c r="L2681" t="s">
        <v>1476</v>
      </c>
      <c r="N2681" t="s">
        <v>58</v>
      </c>
    </row>
    <row r="2682" spans="1:13" ht="15">
      <c r="A2682" s="4">
        <v>201403</v>
      </c>
      <c r="B2682" t="s">
        <v>1473</v>
      </c>
      <c r="C2682" s="5">
        <v>6548547</v>
      </c>
      <c r="D2682" s="2" t="s">
        <v>1041</v>
      </c>
      <c r="E2682" s="2" t="s">
        <v>15</v>
      </c>
      <c r="F2682" s="3">
        <v>54.24</v>
      </c>
      <c r="G2682" t="s">
        <v>81</v>
      </c>
      <c r="H2682" s="1" t="s">
        <v>60</v>
      </c>
      <c r="I2682" t="s">
        <v>1495</v>
      </c>
      <c r="J2682" t="s">
        <v>1475</v>
      </c>
      <c r="K2682" t="s">
        <v>1184</v>
      </c>
      <c r="L2682" t="s">
        <v>1476</v>
      </c>
      <c r="M2682">
        <v>900457</v>
      </c>
    </row>
    <row r="2683" spans="1:13" ht="15">
      <c r="A2683" s="4">
        <v>201403</v>
      </c>
      <c r="B2683" t="s">
        <v>1473</v>
      </c>
      <c r="C2683" s="5">
        <v>6548547</v>
      </c>
      <c r="D2683" s="2" t="s">
        <v>1041</v>
      </c>
      <c r="E2683" s="2" t="s">
        <v>15</v>
      </c>
      <c r="F2683" s="3">
        <v>75</v>
      </c>
      <c r="G2683" t="s">
        <v>81</v>
      </c>
      <c r="H2683" s="1" t="s">
        <v>60</v>
      </c>
      <c r="I2683" t="e">
        <f>-Expediting fees</f>
        <v>#NAME?</v>
      </c>
      <c r="J2683" t="s">
        <v>1475</v>
      </c>
      <c r="K2683" t="s">
        <v>1184</v>
      </c>
      <c r="L2683" t="s">
        <v>1476</v>
      </c>
      <c r="M2683">
        <v>900457</v>
      </c>
    </row>
    <row r="2684" spans="1:13" ht="15">
      <c r="A2684" s="4">
        <v>201403</v>
      </c>
      <c r="B2684" t="s">
        <v>1473</v>
      </c>
      <c r="C2684" s="5">
        <v>6548547</v>
      </c>
      <c r="D2684" s="2" t="s">
        <v>1041</v>
      </c>
      <c r="E2684" s="2" t="s">
        <v>15</v>
      </c>
      <c r="F2684" s="3">
        <v>676.47</v>
      </c>
      <c r="G2684" t="s">
        <v>81</v>
      </c>
      <c r="H2684" s="1" t="s">
        <v>60</v>
      </c>
      <c r="I2684" t="s">
        <v>1496</v>
      </c>
      <c r="J2684" t="s">
        <v>1475</v>
      </c>
      <c r="K2684" t="s">
        <v>1184</v>
      </c>
      <c r="L2684" t="s">
        <v>1476</v>
      </c>
      <c r="M2684">
        <v>900457</v>
      </c>
    </row>
    <row r="2685" spans="1:12" ht="15">
      <c r="A2685" s="4">
        <v>201403</v>
      </c>
      <c r="B2685" t="s">
        <v>1473</v>
      </c>
      <c r="C2685" s="5">
        <v>6548547</v>
      </c>
      <c r="D2685" s="2" t="s">
        <v>1041</v>
      </c>
      <c r="E2685" s="2" t="s">
        <v>15</v>
      </c>
      <c r="F2685" s="3">
        <v>4200</v>
      </c>
      <c r="H2685" s="1" t="s">
        <v>60</v>
      </c>
      <c r="I2685" t="s">
        <v>1497</v>
      </c>
      <c r="J2685" t="s">
        <v>1475</v>
      </c>
      <c r="K2685" t="s">
        <v>1184</v>
      </c>
      <c r="L2685" t="s">
        <v>1476</v>
      </c>
    </row>
    <row r="2686" spans="1:12" ht="15">
      <c r="A2686" s="4">
        <v>201404</v>
      </c>
      <c r="B2686" t="s">
        <v>1473</v>
      </c>
      <c r="C2686" s="5">
        <v>6548547</v>
      </c>
      <c r="D2686" s="2" t="s">
        <v>1041</v>
      </c>
      <c r="E2686" s="2" t="s">
        <v>15</v>
      </c>
      <c r="F2686" s="3">
        <v>-4200</v>
      </c>
      <c r="H2686" s="1" t="s">
        <v>60</v>
      </c>
      <c r="I2686" t="s">
        <v>1497</v>
      </c>
      <c r="J2686" t="s">
        <v>1475</v>
      </c>
      <c r="K2686" t="s">
        <v>1184</v>
      </c>
      <c r="L2686" t="s">
        <v>1476</v>
      </c>
    </row>
    <row r="2687" spans="1:14" ht="15">
      <c r="A2687" s="4">
        <v>201404</v>
      </c>
      <c r="B2687" t="s">
        <v>1473</v>
      </c>
      <c r="C2687" s="5">
        <v>6548547</v>
      </c>
      <c r="D2687" s="2" t="s">
        <v>1041</v>
      </c>
      <c r="E2687" s="2" t="s">
        <v>15</v>
      </c>
      <c r="F2687" s="3">
        <v>306.6</v>
      </c>
      <c r="G2687" t="s">
        <v>57</v>
      </c>
      <c r="H2687" s="1" t="s">
        <v>60</v>
      </c>
      <c r="I2687">
        <f>-18016/817967/1</f>
        <v>-0.02202533843052348</v>
      </c>
      <c r="J2687" t="s">
        <v>1475</v>
      </c>
      <c r="K2687" t="s">
        <v>1184</v>
      </c>
      <c r="L2687" t="s">
        <v>1476</v>
      </c>
      <c r="N2687" t="s">
        <v>58</v>
      </c>
    </row>
    <row r="2688" spans="1:13" ht="15">
      <c r="A2688" s="4">
        <v>201404</v>
      </c>
      <c r="B2688" t="s">
        <v>1473</v>
      </c>
      <c r="C2688" s="5">
        <v>6548547</v>
      </c>
      <c r="D2688" s="2" t="s">
        <v>1041</v>
      </c>
      <c r="E2688" s="2" t="s">
        <v>15</v>
      </c>
      <c r="F2688" s="3">
        <v>910</v>
      </c>
      <c r="G2688" t="s">
        <v>294</v>
      </c>
      <c r="H2688" s="1" t="s">
        <v>60</v>
      </c>
      <c r="I2688" t="e">
        <f>-Rings-Spacing Rings</f>
        <v>#NAME?</v>
      </c>
      <c r="J2688" t="s">
        <v>1475</v>
      </c>
      <c r="K2688" t="s">
        <v>1184</v>
      </c>
      <c r="L2688" t="s">
        <v>1476</v>
      </c>
      <c r="M2688">
        <v>900285</v>
      </c>
    </row>
    <row r="2689" spans="1:13" ht="15">
      <c r="A2689" s="4">
        <v>201404</v>
      </c>
      <c r="B2689" t="s">
        <v>1473</v>
      </c>
      <c r="C2689" s="5">
        <v>6548547</v>
      </c>
      <c r="D2689" s="2" t="s">
        <v>1041</v>
      </c>
      <c r="E2689" s="2" t="s">
        <v>15</v>
      </c>
      <c r="F2689" s="3">
        <v>4200</v>
      </c>
      <c r="G2689" t="s">
        <v>294</v>
      </c>
      <c r="H2689" s="1" t="s">
        <v>60</v>
      </c>
      <c r="I2689" t="e">
        <f>-GASKET-PRESSURE SEAL GASKET Velan</f>
        <v>#NAME?</v>
      </c>
      <c r="J2689" t="s">
        <v>1475</v>
      </c>
      <c r="K2689" t="s">
        <v>1184</v>
      </c>
      <c r="L2689" t="s">
        <v>1476</v>
      </c>
      <c r="M2689">
        <v>900285</v>
      </c>
    </row>
    <row r="2690" spans="1:14" ht="15">
      <c r="A2690" s="4">
        <v>201403</v>
      </c>
      <c r="B2690" t="s">
        <v>1473</v>
      </c>
      <c r="C2690" s="5">
        <v>6548547</v>
      </c>
      <c r="D2690" s="2" t="s">
        <v>1041</v>
      </c>
      <c r="E2690" s="2" t="s">
        <v>15</v>
      </c>
      <c r="F2690" s="3">
        <v>4.78</v>
      </c>
      <c r="G2690" t="s">
        <v>57</v>
      </c>
      <c r="H2690" s="1" t="s">
        <v>69</v>
      </c>
      <c r="I2690">
        <f>-70891/317073/1</f>
        <v>-0.22357942808123052</v>
      </c>
      <c r="J2690" t="s">
        <v>1475</v>
      </c>
      <c r="K2690" t="s">
        <v>1184</v>
      </c>
      <c r="L2690" t="s">
        <v>1476</v>
      </c>
      <c r="N2690" t="s">
        <v>58</v>
      </c>
    </row>
    <row r="2691" spans="1:14" ht="15">
      <c r="A2691" s="4">
        <v>201403</v>
      </c>
      <c r="B2691" t="s">
        <v>1473</v>
      </c>
      <c r="C2691" s="5">
        <v>6548547</v>
      </c>
      <c r="D2691" s="2" t="s">
        <v>1041</v>
      </c>
      <c r="E2691" s="2" t="s">
        <v>15</v>
      </c>
      <c r="F2691" s="3">
        <v>6.05</v>
      </c>
      <c r="G2691" t="s">
        <v>57</v>
      </c>
      <c r="H2691" s="1" t="s">
        <v>69</v>
      </c>
      <c r="I2691">
        <f>-70891/317015/1</f>
        <v>-0.2236203334227087</v>
      </c>
      <c r="J2691" t="s">
        <v>1475</v>
      </c>
      <c r="K2691" t="s">
        <v>1184</v>
      </c>
      <c r="L2691" t="s">
        <v>1476</v>
      </c>
      <c r="N2691" t="s">
        <v>58</v>
      </c>
    </row>
    <row r="2692" spans="1:12" ht="15">
      <c r="A2692" s="4">
        <v>201403</v>
      </c>
      <c r="B2692" t="s">
        <v>1473</v>
      </c>
      <c r="C2692" s="5">
        <v>6548547</v>
      </c>
      <c r="D2692" s="2" t="s">
        <v>1041</v>
      </c>
      <c r="E2692" s="2" t="s">
        <v>15</v>
      </c>
      <c r="F2692" s="3">
        <v>79.62</v>
      </c>
      <c r="G2692" t="s">
        <v>81</v>
      </c>
      <c r="H2692" s="1" t="s">
        <v>69</v>
      </c>
      <c r="I2692" t="e">
        <f>-freight</f>
        <v>#NAME?</v>
      </c>
      <c r="J2692" t="s">
        <v>1475</v>
      </c>
      <c r="K2692" t="s">
        <v>1184</v>
      </c>
      <c r="L2692" t="s">
        <v>1476</v>
      </c>
    </row>
    <row r="2693" spans="1:12" ht="15">
      <c r="A2693" s="4">
        <v>201403</v>
      </c>
      <c r="B2693" t="s">
        <v>1473</v>
      </c>
      <c r="C2693" s="5">
        <v>6548547</v>
      </c>
      <c r="D2693" s="2" t="s">
        <v>1041</v>
      </c>
      <c r="E2693" s="2" t="s">
        <v>15</v>
      </c>
      <c r="F2693" s="3">
        <v>100.77</v>
      </c>
      <c r="G2693" t="s">
        <v>81</v>
      </c>
      <c r="H2693" s="1" t="s">
        <v>69</v>
      </c>
      <c r="I2693" t="e">
        <f>-freight</f>
        <v>#NAME?</v>
      </c>
      <c r="J2693" t="s">
        <v>1475</v>
      </c>
      <c r="K2693" t="s">
        <v>1184</v>
      </c>
      <c r="L2693" t="s">
        <v>1476</v>
      </c>
    </row>
    <row r="2694" spans="1:14" ht="15">
      <c r="A2694" s="4">
        <v>201404</v>
      </c>
      <c r="B2694" t="s">
        <v>1473</v>
      </c>
      <c r="C2694" s="5">
        <v>6548547</v>
      </c>
      <c r="D2694" s="2" t="s">
        <v>1041</v>
      </c>
      <c r="E2694" s="2" t="s">
        <v>15</v>
      </c>
      <c r="F2694" s="3">
        <v>2.2</v>
      </c>
      <c r="G2694" t="s">
        <v>57</v>
      </c>
      <c r="H2694" s="1" t="s">
        <v>69</v>
      </c>
      <c r="I2694">
        <f>-18016/817967/1</f>
        <v>-0.02202533843052348</v>
      </c>
      <c r="J2694" t="s">
        <v>1475</v>
      </c>
      <c r="K2694" t="s">
        <v>1184</v>
      </c>
      <c r="L2694" t="s">
        <v>1476</v>
      </c>
      <c r="N2694" t="s">
        <v>58</v>
      </c>
    </row>
    <row r="2695" spans="1:12" ht="15">
      <c r="A2695" s="4">
        <v>201404</v>
      </c>
      <c r="B2695" t="s">
        <v>1473</v>
      </c>
      <c r="C2695" s="5">
        <v>6548547</v>
      </c>
      <c r="D2695" s="2" t="s">
        <v>1041</v>
      </c>
      <c r="E2695" s="2" t="s">
        <v>15</v>
      </c>
      <c r="F2695" s="3">
        <v>36.64</v>
      </c>
      <c r="G2695" t="s">
        <v>294</v>
      </c>
      <c r="H2695" s="1" t="s">
        <v>69</v>
      </c>
      <c r="I2695" t="e">
        <f>-freight</f>
        <v>#NAME?</v>
      </c>
      <c r="J2695" t="s">
        <v>1475</v>
      </c>
      <c r="K2695" t="s">
        <v>1184</v>
      </c>
      <c r="L2695" t="s">
        <v>1476</v>
      </c>
    </row>
    <row r="2696" spans="1:13" ht="15">
      <c r="A2696" s="4">
        <v>201412</v>
      </c>
      <c r="B2696" t="s">
        <v>1473</v>
      </c>
      <c r="C2696" s="5">
        <v>6577534</v>
      </c>
      <c r="D2696" s="2" t="s">
        <v>1498</v>
      </c>
      <c r="E2696" s="2" t="s">
        <v>99</v>
      </c>
      <c r="F2696" s="3">
        <v>600</v>
      </c>
      <c r="G2696" t="s">
        <v>294</v>
      </c>
      <c r="H2696" s="1" t="s">
        <v>60</v>
      </c>
      <c r="I2696" t="e">
        <f>-SPACER,CAGE-V391260,CAGE SPACER</f>
        <v>#NAME?</v>
      </c>
      <c r="J2696" t="s">
        <v>1475</v>
      </c>
      <c r="K2696" t="s">
        <v>1184</v>
      </c>
      <c r="L2696" t="s">
        <v>1476</v>
      </c>
      <c r="M2696">
        <v>912062</v>
      </c>
    </row>
    <row r="2697" spans="1:13" ht="15">
      <c r="A2697" s="4">
        <v>201412</v>
      </c>
      <c r="B2697" t="s">
        <v>1473</v>
      </c>
      <c r="C2697" s="5">
        <v>6577534</v>
      </c>
      <c r="D2697" s="2" t="s">
        <v>1498</v>
      </c>
      <c r="E2697" s="2" t="s">
        <v>99</v>
      </c>
      <c r="F2697" s="3">
        <v>1853</v>
      </c>
      <c r="G2697" t="s">
        <v>294</v>
      </c>
      <c r="H2697" s="1" t="s">
        <v>60</v>
      </c>
      <c r="I2697" t="s">
        <v>1499</v>
      </c>
      <c r="J2697" t="s">
        <v>1475</v>
      </c>
      <c r="K2697" t="s">
        <v>1184</v>
      </c>
      <c r="L2697" t="s">
        <v>1476</v>
      </c>
      <c r="M2697">
        <v>912062</v>
      </c>
    </row>
    <row r="2698" spans="1:14" ht="15">
      <c r="A2698" s="4">
        <v>201412</v>
      </c>
      <c r="B2698" t="s">
        <v>1473</v>
      </c>
      <c r="C2698" s="5">
        <v>6577534</v>
      </c>
      <c r="D2698" s="2" t="s">
        <v>1498</v>
      </c>
      <c r="E2698" s="2" t="s">
        <v>99</v>
      </c>
      <c r="F2698" s="3">
        <v>2347.32</v>
      </c>
      <c r="G2698" t="s">
        <v>57</v>
      </c>
      <c r="H2698" s="1" t="s">
        <v>60</v>
      </c>
      <c r="I2698">
        <f>-18016/818846/1</f>
        <v>-0.022001695068425565</v>
      </c>
      <c r="J2698" t="s">
        <v>1475</v>
      </c>
      <c r="K2698" t="s">
        <v>1184</v>
      </c>
      <c r="L2698" t="s">
        <v>1476</v>
      </c>
      <c r="N2698" t="s">
        <v>58</v>
      </c>
    </row>
    <row r="2699" spans="1:13" ht="15">
      <c r="A2699" s="4">
        <v>201412</v>
      </c>
      <c r="B2699" t="s">
        <v>1473</v>
      </c>
      <c r="C2699" s="5">
        <v>6577534</v>
      </c>
      <c r="D2699" s="2" t="s">
        <v>1498</v>
      </c>
      <c r="E2699" s="2" t="s">
        <v>99</v>
      </c>
      <c r="F2699" s="3">
        <v>9144</v>
      </c>
      <c r="G2699" t="s">
        <v>294</v>
      </c>
      <c r="H2699" s="1" t="s">
        <v>60</v>
      </c>
      <c r="I2699" t="e">
        <f>-ASSEMBLY,STRAINER,Seat-V391264,ASSY Seat STRAINER</f>
        <v>#NAME?</v>
      </c>
      <c r="J2699" t="s">
        <v>1475</v>
      </c>
      <c r="K2699" t="s">
        <v>1184</v>
      </c>
      <c r="L2699" t="s">
        <v>1476</v>
      </c>
      <c r="M2699">
        <v>912062</v>
      </c>
    </row>
    <row r="2700" spans="1:13" ht="15">
      <c r="A2700" s="4">
        <v>201412</v>
      </c>
      <c r="B2700" t="s">
        <v>1473</v>
      </c>
      <c r="C2700" s="5">
        <v>6577534</v>
      </c>
      <c r="D2700" s="2" t="s">
        <v>1498</v>
      </c>
      <c r="E2700" s="2" t="s">
        <v>99</v>
      </c>
      <c r="F2700" s="3">
        <v>13525</v>
      </c>
      <c r="G2700" t="s">
        <v>294</v>
      </c>
      <c r="H2700" s="1" t="s">
        <v>60</v>
      </c>
      <c r="I2700" t="e">
        <f>-ASSEMBLY,PLUG&amp;Stem-V391259,PLUG and Stem ASSY</f>
        <v>#NAME?</v>
      </c>
      <c r="J2700" t="s">
        <v>1475</v>
      </c>
      <c r="K2700" t="s">
        <v>1184</v>
      </c>
      <c r="L2700" t="s">
        <v>1476</v>
      </c>
      <c r="M2700">
        <v>912062</v>
      </c>
    </row>
    <row r="2701" spans="1:13" ht="15">
      <c r="A2701" s="4">
        <v>201412</v>
      </c>
      <c r="B2701" t="s">
        <v>1473</v>
      </c>
      <c r="C2701" s="5">
        <v>6577534</v>
      </c>
      <c r="D2701" s="2" t="s">
        <v>1498</v>
      </c>
      <c r="E2701" s="2" t="s">
        <v>99</v>
      </c>
      <c r="F2701" s="3">
        <v>14000</v>
      </c>
      <c r="G2701" t="s">
        <v>294</v>
      </c>
      <c r="H2701" s="1" t="s">
        <v>60</v>
      </c>
      <c r="I2701" t="e">
        <f>-ASSEMBLY,cylinder-V391262,cylinder ASSY</f>
        <v>#NAME?</v>
      </c>
      <c r="J2701" t="s">
        <v>1475</v>
      </c>
      <c r="K2701" t="s">
        <v>1184</v>
      </c>
      <c r="L2701" t="s">
        <v>1476</v>
      </c>
      <c r="M2701">
        <v>912062</v>
      </c>
    </row>
    <row r="2702" spans="1:14" ht="15">
      <c r="A2702" s="4">
        <v>201412</v>
      </c>
      <c r="B2702" t="s">
        <v>1473</v>
      </c>
      <c r="C2702" s="5">
        <v>6577534</v>
      </c>
      <c r="D2702" s="2" t="s">
        <v>1498</v>
      </c>
      <c r="E2702" s="2" t="s">
        <v>99</v>
      </c>
      <c r="F2702" s="3">
        <v>14.78</v>
      </c>
      <c r="G2702" t="s">
        <v>57</v>
      </c>
      <c r="H2702" s="1" t="s">
        <v>69</v>
      </c>
      <c r="I2702">
        <f>-18016/818846/1</f>
        <v>-0.022001695068425565</v>
      </c>
      <c r="J2702" t="s">
        <v>1475</v>
      </c>
      <c r="K2702" t="s">
        <v>1184</v>
      </c>
      <c r="L2702" t="s">
        <v>1476</v>
      </c>
      <c r="N2702" t="s">
        <v>58</v>
      </c>
    </row>
    <row r="2703" spans="1:12" ht="15">
      <c r="A2703" s="4">
        <v>201412</v>
      </c>
      <c r="B2703" t="s">
        <v>1473</v>
      </c>
      <c r="C2703" s="5">
        <v>6577534</v>
      </c>
      <c r="D2703" s="2" t="s">
        <v>1498</v>
      </c>
      <c r="E2703" s="2" t="s">
        <v>99</v>
      </c>
      <c r="F2703" s="3">
        <v>246.35</v>
      </c>
      <c r="G2703" t="s">
        <v>294</v>
      </c>
      <c r="H2703" s="1" t="s">
        <v>69</v>
      </c>
      <c r="I2703" t="e">
        <f>-freight</f>
        <v>#NAME?</v>
      </c>
      <c r="J2703" t="s">
        <v>1475</v>
      </c>
      <c r="K2703" t="s">
        <v>1184</v>
      </c>
      <c r="L2703" t="s">
        <v>1476</v>
      </c>
    </row>
    <row r="2704" spans="1:12" ht="15">
      <c r="A2704" s="4">
        <v>201407</v>
      </c>
      <c r="B2704" t="s">
        <v>1473</v>
      </c>
      <c r="C2704" s="5">
        <v>6580480</v>
      </c>
      <c r="D2704" s="2" t="s">
        <v>1500</v>
      </c>
      <c r="E2704" s="2" t="s">
        <v>169</v>
      </c>
      <c r="F2704" s="3">
        <v>20.75</v>
      </c>
      <c r="H2704" s="1" t="s">
        <v>14</v>
      </c>
      <c r="I2704" t="s">
        <v>319</v>
      </c>
      <c r="J2704" t="s">
        <v>1475</v>
      </c>
      <c r="K2704" t="s">
        <v>1184</v>
      </c>
      <c r="L2704" t="s">
        <v>1476</v>
      </c>
    </row>
    <row r="2705" spans="1:12" ht="15">
      <c r="A2705" s="4">
        <v>201407</v>
      </c>
      <c r="B2705" t="s">
        <v>1473</v>
      </c>
      <c r="C2705" s="5">
        <v>6580480</v>
      </c>
      <c r="D2705" s="2" t="s">
        <v>1500</v>
      </c>
      <c r="E2705" s="2" t="s">
        <v>169</v>
      </c>
      <c r="F2705" s="3">
        <v>1864</v>
      </c>
      <c r="H2705" s="1" t="s">
        <v>14</v>
      </c>
      <c r="I2705" t="s">
        <v>1501</v>
      </c>
      <c r="J2705" t="s">
        <v>1475</v>
      </c>
      <c r="K2705" t="s">
        <v>1184</v>
      </c>
      <c r="L2705" t="s">
        <v>1476</v>
      </c>
    </row>
    <row r="2706" spans="1:12" ht="15">
      <c r="A2706" s="4">
        <v>201407</v>
      </c>
      <c r="B2706" t="s">
        <v>1473</v>
      </c>
      <c r="C2706" s="5">
        <v>6580480</v>
      </c>
      <c r="D2706" s="2" t="s">
        <v>1500</v>
      </c>
      <c r="E2706" s="2" t="s">
        <v>169</v>
      </c>
      <c r="F2706" s="3">
        <v>4279</v>
      </c>
      <c r="H2706" s="1" t="s">
        <v>14</v>
      </c>
      <c r="I2706" t="s">
        <v>1502</v>
      </c>
      <c r="J2706" t="s">
        <v>1475</v>
      </c>
      <c r="K2706" t="s">
        <v>1184</v>
      </c>
      <c r="L2706" t="s">
        <v>1476</v>
      </c>
    </row>
    <row r="2707" spans="1:13" ht="15">
      <c r="A2707" s="4">
        <v>201408</v>
      </c>
      <c r="B2707" t="s">
        <v>1473</v>
      </c>
      <c r="C2707" s="5">
        <v>6580480</v>
      </c>
      <c r="D2707" s="2" t="s">
        <v>1500</v>
      </c>
      <c r="E2707" s="2" t="s">
        <v>169</v>
      </c>
      <c r="F2707" s="3">
        <v>5043</v>
      </c>
      <c r="G2707" t="s">
        <v>1503</v>
      </c>
      <c r="H2707" s="1" t="s">
        <v>44</v>
      </c>
      <c r="I2707" t="e">
        <f>-labor-Bently Nevada FIELD Service technician SITE VISIT</f>
        <v>#NAME?</v>
      </c>
      <c r="J2707" t="s">
        <v>1475</v>
      </c>
      <c r="K2707" t="s">
        <v>1184</v>
      </c>
      <c r="L2707" t="s">
        <v>1476</v>
      </c>
      <c r="M2707">
        <v>909097</v>
      </c>
    </row>
    <row r="2708" spans="1:14" ht="15">
      <c r="A2708" s="4">
        <v>201407</v>
      </c>
      <c r="B2708" t="s">
        <v>1473</v>
      </c>
      <c r="C2708" s="5">
        <v>6580480</v>
      </c>
      <c r="D2708" s="2" t="s">
        <v>1500</v>
      </c>
      <c r="E2708" s="2" t="s">
        <v>169</v>
      </c>
      <c r="F2708" s="3">
        <v>289.68</v>
      </c>
      <c r="G2708" t="s">
        <v>57</v>
      </c>
      <c r="H2708" s="1" t="s">
        <v>60</v>
      </c>
      <c r="I2708">
        <f>-59898/1010137902/1</f>
        <v>-5.929685430217626E-05</v>
      </c>
      <c r="J2708" t="s">
        <v>1475</v>
      </c>
      <c r="K2708" t="s">
        <v>1184</v>
      </c>
      <c r="L2708" t="s">
        <v>1476</v>
      </c>
      <c r="N2708" t="s">
        <v>58</v>
      </c>
    </row>
    <row r="2709" spans="1:13" ht="15">
      <c r="A2709" s="4">
        <v>201407</v>
      </c>
      <c r="B2709" t="s">
        <v>1473</v>
      </c>
      <c r="C2709" s="5">
        <v>6580480</v>
      </c>
      <c r="D2709" s="2" t="s">
        <v>1500</v>
      </c>
      <c r="E2709" s="2" t="s">
        <v>169</v>
      </c>
      <c r="F2709" s="3">
        <v>4828</v>
      </c>
      <c r="G2709" t="s">
        <v>1503</v>
      </c>
      <c r="H2709" s="1" t="s">
        <v>60</v>
      </c>
      <c r="I2709" t="s">
        <v>1504</v>
      </c>
      <c r="J2709" t="s">
        <v>1475</v>
      </c>
      <c r="K2709" t="s">
        <v>1184</v>
      </c>
      <c r="L2709" t="s">
        <v>1476</v>
      </c>
      <c r="M2709">
        <v>907613</v>
      </c>
    </row>
    <row r="2710" spans="1:12" ht="15">
      <c r="A2710" s="4">
        <v>201407</v>
      </c>
      <c r="B2710" t="s">
        <v>1473</v>
      </c>
      <c r="C2710" s="5">
        <v>6590196</v>
      </c>
      <c r="D2710" s="2" t="s">
        <v>1505</v>
      </c>
      <c r="E2710" s="2" t="s">
        <v>1237</v>
      </c>
      <c r="F2710" s="3">
        <v>0.44</v>
      </c>
      <c r="H2710" s="1" t="s">
        <v>66</v>
      </c>
      <c r="I2710" t="s">
        <v>67</v>
      </c>
      <c r="J2710" t="s">
        <v>1475</v>
      </c>
      <c r="K2710" t="s">
        <v>1184</v>
      </c>
      <c r="L2710" t="s">
        <v>1476</v>
      </c>
    </row>
    <row r="2711" spans="1:12" ht="15">
      <c r="A2711" s="4">
        <v>201407</v>
      </c>
      <c r="B2711" t="s">
        <v>1473</v>
      </c>
      <c r="C2711" s="5">
        <v>6590196</v>
      </c>
      <c r="D2711" s="2" t="s">
        <v>1505</v>
      </c>
      <c r="E2711" s="2" t="s">
        <v>1237</v>
      </c>
      <c r="F2711" s="3">
        <v>0</v>
      </c>
      <c r="H2711" s="1" t="s">
        <v>68</v>
      </c>
      <c r="J2711" t="s">
        <v>1475</v>
      </c>
      <c r="K2711" t="s">
        <v>1184</v>
      </c>
      <c r="L2711" t="s">
        <v>1476</v>
      </c>
    </row>
    <row r="2712" spans="1:12" ht="15">
      <c r="A2712" s="4">
        <v>201407</v>
      </c>
      <c r="B2712" t="s">
        <v>1473</v>
      </c>
      <c r="C2712" s="5">
        <v>6590196</v>
      </c>
      <c r="D2712" s="2" t="s">
        <v>1505</v>
      </c>
      <c r="E2712" s="2" t="s">
        <v>1237</v>
      </c>
      <c r="F2712" s="3">
        <v>6</v>
      </c>
      <c r="H2712" s="1" t="s">
        <v>68</v>
      </c>
      <c r="J2712" t="s">
        <v>1475</v>
      </c>
      <c r="K2712" t="s">
        <v>1184</v>
      </c>
      <c r="L2712" t="s">
        <v>1476</v>
      </c>
    </row>
    <row r="2713" spans="1:12" ht="15">
      <c r="A2713" s="4">
        <v>201412</v>
      </c>
      <c r="B2713" t="s">
        <v>1473</v>
      </c>
      <c r="C2713" s="5">
        <v>6599489</v>
      </c>
      <c r="D2713" s="2" t="s">
        <v>1506</v>
      </c>
      <c r="E2713" s="2" t="s">
        <v>99</v>
      </c>
      <c r="F2713" s="3">
        <v>0.36</v>
      </c>
      <c r="H2713" s="1" t="s">
        <v>66</v>
      </c>
      <c r="I2713" t="s">
        <v>67</v>
      </c>
      <c r="J2713" t="s">
        <v>1475</v>
      </c>
      <c r="K2713" t="s">
        <v>1184</v>
      </c>
      <c r="L2713" t="s">
        <v>1476</v>
      </c>
    </row>
    <row r="2714" spans="1:12" ht="15">
      <c r="A2714" s="4">
        <v>201402</v>
      </c>
      <c r="B2714" t="s">
        <v>1507</v>
      </c>
      <c r="C2714" s="5">
        <v>6543239</v>
      </c>
      <c r="D2714" s="2" t="s">
        <v>1510</v>
      </c>
      <c r="E2714" s="2" t="s">
        <v>15</v>
      </c>
      <c r="F2714" s="3">
        <v>0.44</v>
      </c>
      <c r="H2714" s="1" t="s">
        <v>66</v>
      </c>
      <c r="I2714" t="s">
        <v>67</v>
      </c>
      <c r="J2714" t="s">
        <v>1508</v>
      </c>
      <c r="K2714" t="s">
        <v>1303</v>
      </c>
      <c r="L2714" t="s">
        <v>1509</v>
      </c>
    </row>
    <row r="2715" spans="1:12" ht="15">
      <c r="A2715" s="4">
        <v>201404</v>
      </c>
      <c r="B2715" t="s">
        <v>1507</v>
      </c>
      <c r="C2715" s="5">
        <v>6566046</v>
      </c>
      <c r="D2715" s="2" t="s">
        <v>1511</v>
      </c>
      <c r="E2715" s="2" t="s">
        <v>15</v>
      </c>
      <c r="F2715" s="3">
        <v>0.38</v>
      </c>
      <c r="H2715" s="1" t="s">
        <v>66</v>
      </c>
      <c r="I2715" t="s">
        <v>67</v>
      </c>
      <c r="J2715" t="s">
        <v>1508</v>
      </c>
      <c r="K2715" t="s">
        <v>1303</v>
      </c>
      <c r="L2715" t="s">
        <v>1509</v>
      </c>
    </row>
    <row r="2716" spans="1:12" ht="15">
      <c r="A2716" s="4">
        <v>201407</v>
      </c>
      <c r="B2716" t="s">
        <v>1507</v>
      </c>
      <c r="C2716" s="5">
        <v>6576827</v>
      </c>
      <c r="D2716" s="2" t="s">
        <v>1512</v>
      </c>
      <c r="E2716" s="2" t="s">
        <v>169</v>
      </c>
      <c r="F2716" s="3">
        <v>1</v>
      </c>
      <c r="H2716" s="1" t="s">
        <v>14</v>
      </c>
      <c r="I2716" t="s">
        <v>1397</v>
      </c>
      <c r="J2716" t="s">
        <v>1508</v>
      </c>
      <c r="K2716" t="s">
        <v>1303</v>
      </c>
      <c r="L2716" t="s">
        <v>1509</v>
      </c>
    </row>
    <row r="2717" spans="1:12" ht="15">
      <c r="A2717" s="4">
        <v>201407</v>
      </c>
      <c r="B2717" t="s">
        <v>1507</v>
      </c>
      <c r="C2717" s="5">
        <v>6576827</v>
      </c>
      <c r="D2717" s="2" t="s">
        <v>1512</v>
      </c>
      <c r="E2717" s="2" t="s">
        <v>169</v>
      </c>
      <c r="F2717" s="3">
        <v>8.77</v>
      </c>
      <c r="H2717" s="1" t="s">
        <v>14</v>
      </c>
      <c r="I2717" t="s">
        <v>461</v>
      </c>
      <c r="J2717" t="s">
        <v>1508</v>
      </c>
      <c r="K2717" t="s">
        <v>1303</v>
      </c>
      <c r="L2717" t="s">
        <v>1509</v>
      </c>
    </row>
    <row r="2718" spans="1:12" ht="15">
      <c r="A2718" s="4">
        <v>201407</v>
      </c>
      <c r="B2718" t="s">
        <v>1507</v>
      </c>
      <c r="C2718" s="5">
        <v>6576827</v>
      </c>
      <c r="D2718" s="2" t="s">
        <v>1512</v>
      </c>
      <c r="E2718" s="2" t="s">
        <v>169</v>
      </c>
      <c r="F2718" s="3">
        <v>8.98</v>
      </c>
      <c r="H2718" s="1" t="s">
        <v>14</v>
      </c>
      <c r="I2718" t="s">
        <v>40</v>
      </c>
      <c r="J2718" t="s">
        <v>1508</v>
      </c>
      <c r="K2718" t="s">
        <v>1303</v>
      </c>
      <c r="L2718" t="s">
        <v>1509</v>
      </c>
    </row>
    <row r="2719" spans="1:12" ht="15">
      <c r="A2719" s="4">
        <v>201407</v>
      </c>
      <c r="B2719" t="s">
        <v>1507</v>
      </c>
      <c r="C2719" s="5">
        <v>6576827</v>
      </c>
      <c r="D2719" s="2" t="s">
        <v>1512</v>
      </c>
      <c r="E2719" s="2" t="s">
        <v>169</v>
      </c>
      <c r="F2719" s="3">
        <v>13.28</v>
      </c>
      <c r="H2719" s="1" t="s">
        <v>14</v>
      </c>
      <c r="I2719" t="s">
        <v>1513</v>
      </c>
      <c r="J2719" t="s">
        <v>1508</v>
      </c>
      <c r="K2719" t="s">
        <v>1303</v>
      </c>
      <c r="L2719" t="s">
        <v>1509</v>
      </c>
    </row>
    <row r="2720" spans="1:12" ht="15">
      <c r="A2720" s="4">
        <v>201407</v>
      </c>
      <c r="B2720" t="s">
        <v>1507</v>
      </c>
      <c r="C2720" s="5">
        <v>6576827</v>
      </c>
      <c r="D2720" s="2" t="s">
        <v>1512</v>
      </c>
      <c r="E2720" s="2" t="s">
        <v>169</v>
      </c>
      <c r="F2720" s="3">
        <v>21.91</v>
      </c>
      <c r="H2720" s="1" t="s">
        <v>14</v>
      </c>
      <c r="I2720" t="s">
        <v>1514</v>
      </c>
      <c r="J2720" t="s">
        <v>1508</v>
      </c>
      <c r="K2720" t="s">
        <v>1303</v>
      </c>
      <c r="L2720" t="s">
        <v>1509</v>
      </c>
    </row>
    <row r="2721" spans="1:12" ht="15">
      <c r="A2721" s="4">
        <v>201407</v>
      </c>
      <c r="B2721" t="s">
        <v>1507</v>
      </c>
      <c r="C2721" s="5">
        <v>6576827</v>
      </c>
      <c r="D2721" s="2" t="s">
        <v>1512</v>
      </c>
      <c r="E2721" s="2" t="s">
        <v>169</v>
      </c>
      <c r="F2721" s="3">
        <v>183.08</v>
      </c>
      <c r="H2721" s="1" t="s">
        <v>14</v>
      </c>
      <c r="I2721" t="s">
        <v>428</v>
      </c>
      <c r="J2721" t="s">
        <v>1508</v>
      </c>
      <c r="K2721" t="s">
        <v>1303</v>
      </c>
      <c r="L2721" t="s">
        <v>1509</v>
      </c>
    </row>
    <row r="2722" spans="1:14" ht="15">
      <c r="A2722" s="4">
        <v>201406</v>
      </c>
      <c r="B2722" t="s">
        <v>1507</v>
      </c>
      <c r="C2722" s="5">
        <v>6576827</v>
      </c>
      <c r="D2722" s="2" t="s">
        <v>1512</v>
      </c>
      <c r="E2722" s="2" t="s">
        <v>169</v>
      </c>
      <c r="F2722" s="3">
        <v>90.05</v>
      </c>
      <c r="G2722" t="s">
        <v>57</v>
      </c>
      <c r="H2722" s="1" t="s">
        <v>60</v>
      </c>
      <c r="I2722">
        <f>-70984/1001768/1</f>
        <v>-0.07085872177989315</v>
      </c>
      <c r="J2722" t="s">
        <v>1508</v>
      </c>
      <c r="K2722" t="s">
        <v>1303</v>
      </c>
      <c r="L2722" t="s">
        <v>1509</v>
      </c>
      <c r="N2722" t="s">
        <v>58</v>
      </c>
    </row>
    <row r="2723" spans="1:13" ht="15">
      <c r="A2723" s="4">
        <v>201406</v>
      </c>
      <c r="B2723" t="s">
        <v>1507</v>
      </c>
      <c r="C2723" s="5">
        <v>6576827</v>
      </c>
      <c r="D2723" s="2" t="s">
        <v>1512</v>
      </c>
      <c r="E2723" s="2" t="s">
        <v>169</v>
      </c>
      <c r="F2723" s="3">
        <v>1500.75</v>
      </c>
      <c r="G2723" t="s">
        <v>1515</v>
      </c>
      <c r="H2723" s="1" t="s">
        <v>60</v>
      </c>
      <c r="I2723" t="s">
        <v>1516</v>
      </c>
      <c r="J2723" t="s">
        <v>1508</v>
      </c>
      <c r="K2723" t="s">
        <v>1303</v>
      </c>
      <c r="L2723" t="s">
        <v>1509</v>
      </c>
      <c r="M2723">
        <v>906553</v>
      </c>
    </row>
    <row r="2724" spans="1:12" ht="15">
      <c r="A2724" s="4">
        <v>201410</v>
      </c>
      <c r="B2724" t="s">
        <v>1507</v>
      </c>
      <c r="C2724" s="5">
        <v>6609092</v>
      </c>
      <c r="D2724" s="2" t="s">
        <v>1517</v>
      </c>
      <c r="E2724" s="2" t="s">
        <v>1176</v>
      </c>
      <c r="F2724" s="3">
        <v>0.22</v>
      </c>
      <c r="H2724" s="1" t="s">
        <v>66</v>
      </c>
      <c r="I2724" t="s">
        <v>67</v>
      </c>
      <c r="J2724" t="s">
        <v>1508</v>
      </c>
      <c r="K2724" t="s">
        <v>1303</v>
      </c>
      <c r="L2724" t="s">
        <v>1509</v>
      </c>
    </row>
    <row r="2725" spans="1:12" ht="15">
      <c r="A2725" s="4">
        <v>201410</v>
      </c>
      <c r="B2725" t="s">
        <v>1507</v>
      </c>
      <c r="C2725" s="5">
        <v>6609093</v>
      </c>
      <c r="D2725" s="2" t="s">
        <v>1518</v>
      </c>
      <c r="E2725" s="2" t="s">
        <v>1176</v>
      </c>
      <c r="F2725" s="3">
        <v>0.22</v>
      </c>
      <c r="H2725" s="1" t="s">
        <v>66</v>
      </c>
      <c r="I2725" t="s">
        <v>67</v>
      </c>
      <c r="J2725" t="s">
        <v>1508</v>
      </c>
      <c r="K2725" t="s">
        <v>1303</v>
      </c>
      <c r="L2725" t="s">
        <v>1509</v>
      </c>
    </row>
    <row r="2726" spans="1:13" ht="15">
      <c r="A2726" s="4">
        <v>201401</v>
      </c>
      <c r="B2726" t="s">
        <v>1519</v>
      </c>
      <c r="C2726" s="5">
        <v>6432397</v>
      </c>
      <c r="D2726" s="2" t="s">
        <v>1523</v>
      </c>
      <c r="E2726" s="2" t="s">
        <v>1464</v>
      </c>
      <c r="F2726" s="3">
        <v>505.8</v>
      </c>
      <c r="G2726" t="s">
        <v>45</v>
      </c>
      <c r="H2726" s="1" t="s">
        <v>44</v>
      </c>
      <c r="I2726" t="s">
        <v>1520</v>
      </c>
      <c r="J2726" t="s">
        <v>1521</v>
      </c>
      <c r="K2726" t="s">
        <v>197</v>
      </c>
      <c r="L2726" t="s">
        <v>1522</v>
      </c>
      <c r="M2726">
        <v>898066</v>
      </c>
    </row>
    <row r="2727" spans="1:13" ht="15">
      <c r="A2727" s="4">
        <v>201407</v>
      </c>
      <c r="B2727" t="s">
        <v>1524</v>
      </c>
      <c r="C2727" s="5">
        <v>6583353</v>
      </c>
      <c r="D2727" s="2" t="s">
        <v>1527</v>
      </c>
      <c r="E2727" s="2" t="s">
        <v>261</v>
      </c>
      <c r="F2727" s="3">
        <v>3563.52</v>
      </c>
      <c r="G2727" t="s">
        <v>47</v>
      </c>
      <c r="H2727" s="1" t="s">
        <v>46</v>
      </c>
      <c r="I2727" t="s">
        <v>1525</v>
      </c>
      <c r="J2727" t="s">
        <v>1526</v>
      </c>
      <c r="K2727" t="s">
        <v>241</v>
      </c>
      <c r="L2727" t="s">
        <v>1318</v>
      </c>
      <c r="M2727">
        <v>909515</v>
      </c>
    </row>
    <row r="2728" spans="1:12" ht="15">
      <c r="A2728" s="4">
        <v>201408</v>
      </c>
      <c r="B2728" t="s">
        <v>1524</v>
      </c>
      <c r="C2728" s="5">
        <v>6596058</v>
      </c>
      <c r="D2728" s="2" t="s">
        <v>1529</v>
      </c>
      <c r="E2728" s="2" t="s">
        <v>169</v>
      </c>
      <c r="F2728" s="3">
        <v>89.32</v>
      </c>
      <c r="H2728" s="1" t="s">
        <v>14</v>
      </c>
      <c r="I2728" t="s">
        <v>1528</v>
      </c>
      <c r="J2728" t="s">
        <v>1526</v>
      </c>
      <c r="K2728" t="s">
        <v>241</v>
      </c>
      <c r="L2728" t="s">
        <v>1318</v>
      </c>
    </row>
    <row r="2729" spans="1:12" ht="15">
      <c r="A2729" s="4">
        <v>201412</v>
      </c>
      <c r="B2729" t="s">
        <v>1524</v>
      </c>
      <c r="C2729" s="5">
        <v>6601429</v>
      </c>
      <c r="D2729" s="2" t="s">
        <v>1530</v>
      </c>
      <c r="E2729" s="2" t="s">
        <v>99</v>
      </c>
      <c r="F2729" s="3">
        <v>0.76</v>
      </c>
      <c r="H2729" s="1" t="s">
        <v>66</v>
      </c>
      <c r="I2729" t="s">
        <v>67</v>
      </c>
      <c r="J2729" t="s">
        <v>1526</v>
      </c>
      <c r="K2729" t="s">
        <v>241</v>
      </c>
      <c r="L2729" t="s">
        <v>1318</v>
      </c>
    </row>
    <row r="2730" spans="1:14" ht="15">
      <c r="A2730" s="4">
        <v>201411</v>
      </c>
      <c r="B2730" t="s">
        <v>1524</v>
      </c>
      <c r="C2730" s="5">
        <v>6615648</v>
      </c>
      <c r="D2730" s="2" t="s">
        <v>1531</v>
      </c>
      <c r="E2730" s="2" t="s">
        <v>99</v>
      </c>
      <c r="F2730" s="3">
        <v>530.82</v>
      </c>
      <c r="G2730" t="s">
        <v>57</v>
      </c>
      <c r="H2730" s="1" t="s">
        <v>60</v>
      </c>
      <c r="I2730">
        <f>-23109/2982282/1</f>
        <v>-0.00774876420137331</v>
      </c>
      <c r="J2730" t="s">
        <v>1526</v>
      </c>
      <c r="K2730" t="s">
        <v>241</v>
      </c>
      <c r="L2730" t="s">
        <v>1318</v>
      </c>
      <c r="N2730" t="s">
        <v>58</v>
      </c>
    </row>
    <row r="2731" spans="1:13" ht="15">
      <c r="A2731" s="4">
        <v>201411</v>
      </c>
      <c r="B2731" t="s">
        <v>1524</v>
      </c>
      <c r="C2731" s="5">
        <v>6615648</v>
      </c>
      <c r="D2731" s="2" t="s">
        <v>1531</v>
      </c>
      <c r="E2731" s="2" t="s">
        <v>99</v>
      </c>
      <c r="F2731" s="3">
        <v>8847</v>
      </c>
      <c r="G2731" t="s">
        <v>1532</v>
      </c>
      <c r="H2731" s="1" t="s">
        <v>60</v>
      </c>
      <c r="I2731" t="s">
        <v>1533</v>
      </c>
      <c r="J2731" t="s">
        <v>1526</v>
      </c>
      <c r="K2731" t="s">
        <v>241</v>
      </c>
      <c r="L2731" t="s">
        <v>1318</v>
      </c>
      <c r="M2731">
        <v>915260</v>
      </c>
    </row>
    <row r="2732" spans="1:14" ht="15">
      <c r="A2732" s="4">
        <v>201411</v>
      </c>
      <c r="B2732" t="s">
        <v>1524</v>
      </c>
      <c r="C2732" s="5">
        <v>6615648</v>
      </c>
      <c r="D2732" s="2" t="s">
        <v>1531</v>
      </c>
      <c r="E2732" s="2" t="s">
        <v>99</v>
      </c>
      <c r="F2732" s="3">
        <v>5.46</v>
      </c>
      <c r="G2732" t="s">
        <v>57</v>
      </c>
      <c r="H2732" s="1" t="s">
        <v>69</v>
      </c>
      <c r="I2732">
        <f>-23109/2982282/1</f>
        <v>-0.00774876420137331</v>
      </c>
      <c r="J2732" t="s">
        <v>1526</v>
      </c>
      <c r="K2732" t="s">
        <v>241</v>
      </c>
      <c r="L2732" t="s">
        <v>1318</v>
      </c>
      <c r="N2732" t="s">
        <v>58</v>
      </c>
    </row>
    <row r="2733" spans="1:12" ht="15">
      <c r="A2733" s="4">
        <v>201411</v>
      </c>
      <c r="B2733" t="s">
        <v>1524</v>
      </c>
      <c r="C2733" s="5">
        <v>6615648</v>
      </c>
      <c r="D2733" s="2" t="s">
        <v>1531</v>
      </c>
      <c r="E2733" s="2" t="s">
        <v>99</v>
      </c>
      <c r="F2733" s="3">
        <v>90.97</v>
      </c>
      <c r="G2733" t="s">
        <v>1532</v>
      </c>
      <c r="H2733" s="1" t="s">
        <v>69</v>
      </c>
      <c r="I2733" t="e">
        <f>-freight</f>
        <v>#NAME?</v>
      </c>
      <c r="J2733" t="s">
        <v>1526</v>
      </c>
      <c r="K2733" t="s">
        <v>241</v>
      </c>
      <c r="L2733" t="s">
        <v>1318</v>
      </c>
    </row>
    <row r="2734" spans="1:14" ht="15">
      <c r="A2734" s="4">
        <v>201411</v>
      </c>
      <c r="B2734" t="s">
        <v>1534</v>
      </c>
      <c r="C2734" s="5">
        <v>6599693</v>
      </c>
      <c r="D2734" s="2" t="s">
        <v>1537</v>
      </c>
      <c r="E2734" s="2" t="s">
        <v>269</v>
      </c>
      <c r="F2734" s="3">
        <v>37.5</v>
      </c>
      <c r="G2734" t="s">
        <v>57</v>
      </c>
      <c r="H2734" s="1" t="s">
        <v>60</v>
      </c>
      <c r="I2734">
        <f>-18016/818638/1</f>
        <v>-0.022007285271389797</v>
      </c>
      <c r="J2734" t="s">
        <v>1535</v>
      </c>
      <c r="K2734" t="s">
        <v>197</v>
      </c>
      <c r="L2734" t="s">
        <v>1536</v>
      </c>
      <c r="N2734" t="s">
        <v>58</v>
      </c>
    </row>
    <row r="2735" spans="1:13" ht="15">
      <c r="A2735" s="4">
        <v>201411</v>
      </c>
      <c r="B2735" t="s">
        <v>1534</v>
      </c>
      <c r="C2735" s="5">
        <v>6599693</v>
      </c>
      <c r="D2735" s="2" t="s">
        <v>1537</v>
      </c>
      <c r="E2735" s="2" t="s">
        <v>269</v>
      </c>
      <c r="F2735" s="3">
        <v>625</v>
      </c>
      <c r="G2735" t="s">
        <v>294</v>
      </c>
      <c r="H2735" s="1" t="s">
        <v>60</v>
      </c>
      <c r="I2735" t="s">
        <v>1538</v>
      </c>
      <c r="J2735" t="s">
        <v>1535</v>
      </c>
      <c r="K2735" t="s">
        <v>197</v>
      </c>
      <c r="L2735" t="s">
        <v>1536</v>
      </c>
      <c r="M2735">
        <v>912699</v>
      </c>
    </row>
    <row r="2736" spans="1:12" ht="15">
      <c r="A2736" s="4">
        <v>201409</v>
      </c>
      <c r="B2736" t="s">
        <v>1534</v>
      </c>
      <c r="C2736" s="5">
        <v>6599693</v>
      </c>
      <c r="D2736" s="2" t="s">
        <v>1537</v>
      </c>
      <c r="E2736" s="2" t="s">
        <v>269</v>
      </c>
      <c r="F2736" s="3">
        <v>0.46</v>
      </c>
      <c r="H2736" s="1" t="s">
        <v>66</v>
      </c>
      <c r="I2736" t="s">
        <v>67</v>
      </c>
      <c r="J2736" t="s">
        <v>1535</v>
      </c>
      <c r="K2736" t="s">
        <v>197</v>
      </c>
      <c r="L2736" t="s">
        <v>1536</v>
      </c>
    </row>
    <row r="2737" spans="1:12" ht="15">
      <c r="A2737" s="4">
        <v>201412</v>
      </c>
      <c r="B2737" t="s">
        <v>1534</v>
      </c>
      <c r="C2737" s="5">
        <v>6599693</v>
      </c>
      <c r="D2737" s="2" t="s">
        <v>1537</v>
      </c>
      <c r="E2737" s="2" t="s">
        <v>269</v>
      </c>
      <c r="F2737" s="3">
        <v>0.55</v>
      </c>
      <c r="H2737" s="1" t="s">
        <v>66</v>
      </c>
      <c r="I2737" t="s">
        <v>67</v>
      </c>
      <c r="J2737" t="s">
        <v>1535</v>
      </c>
      <c r="K2737" t="s">
        <v>197</v>
      </c>
      <c r="L2737" t="s">
        <v>1536</v>
      </c>
    </row>
    <row r="2738" spans="1:12" ht="15">
      <c r="A2738" s="4">
        <v>201402</v>
      </c>
      <c r="B2738" t="s">
        <v>1539</v>
      </c>
      <c r="C2738" s="5">
        <v>6511668</v>
      </c>
      <c r="D2738" s="2" t="s">
        <v>434</v>
      </c>
      <c r="E2738" s="2" t="s">
        <v>15</v>
      </c>
      <c r="F2738" s="3">
        <v>2.07</v>
      </c>
      <c r="H2738" s="1" t="s">
        <v>66</v>
      </c>
      <c r="I2738" t="s">
        <v>67</v>
      </c>
      <c r="J2738" t="s">
        <v>1540</v>
      </c>
      <c r="K2738" t="s">
        <v>1184</v>
      </c>
      <c r="L2738" t="s">
        <v>1541</v>
      </c>
    </row>
    <row r="2739" spans="1:13" ht="15">
      <c r="A2739" s="4">
        <v>201401</v>
      </c>
      <c r="B2739" t="s">
        <v>1539</v>
      </c>
      <c r="C2739" s="5">
        <v>6520209</v>
      </c>
      <c r="D2739" s="2" t="s">
        <v>1542</v>
      </c>
      <c r="E2739" s="2" t="s">
        <v>1142</v>
      </c>
      <c r="F2739" s="3">
        <v>-3.02</v>
      </c>
      <c r="G2739" t="s">
        <v>73</v>
      </c>
      <c r="H2739" s="1" t="s">
        <v>44</v>
      </c>
      <c r="I2739" t="s">
        <v>1281</v>
      </c>
      <c r="J2739" t="s">
        <v>1540</v>
      </c>
      <c r="K2739" t="s">
        <v>1184</v>
      </c>
      <c r="L2739" t="s">
        <v>1541</v>
      </c>
      <c r="M2739">
        <v>896481</v>
      </c>
    </row>
    <row r="2740" spans="1:14" ht="15">
      <c r="A2740" s="4">
        <v>201402</v>
      </c>
      <c r="B2740" t="s">
        <v>1539</v>
      </c>
      <c r="C2740" s="5">
        <v>6534745</v>
      </c>
      <c r="D2740" s="2" t="s">
        <v>719</v>
      </c>
      <c r="E2740" s="2" t="s">
        <v>15</v>
      </c>
      <c r="F2740" s="3">
        <v>190.8</v>
      </c>
      <c r="G2740" t="s">
        <v>57</v>
      </c>
      <c r="H2740" s="1" t="s">
        <v>60</v>
      </c>
      <c r="I2740">
        <f>-23848/1160165283/1</f>
        <v>-2.0555691804820192E-05</v>
      </c>
      <c r="J2740" t="s">
        <v>1540</v>
      </c>
      <c r="K2740" t="s">
        <v>1184</v>
      </c>
      <c r="L2740" t="s">
        <v>1541</v>
      </c>
      <c r="N2740" t="s">
        <v>58</v>
      </c>
    </row>
    <row r="2741" spans="1:13" ht="15">
      <c r="A2741" s="4">
        <v>201402</v>
      </c>
      <c r="B2741" t="s">
        <v>1539</v>
      </c>
      <c r="C2741" s="5">
        <v>6534745</v>
      </c>
      <c r="D2741" s="2" t="s">
        <v>719</v>
      </c>
      <c r="E2741" s="2" t="s">
        <v>15</v>
      </c>
      <c r="F2741" s="3">
        <v>3180</v>
      </c>
      <c r="G2741" t="s">
        <v>1543</v>
      </c>
      <c r="H2741" s="1" t="s">
        <v>60</v>
      </c>
      <c r="I2741" t="e">
        <f>-REDUCER,Gear-Gear REDUCER 1:1</f>
        <v>#NAME?</v>
      </c>
      <c r="J2741" t="s">
        <v>1540</v>
      </c>
      <c r="K2741" t="s">
        <v>1184</v>
      </c>
      <c r="L2741" t="s">
        <v>1541</v>
      </c>
      <c r="M2741">
        <v>898294</v>
      </c>
    </row>
    <row r="2742" spans="1:14" ht="15">
      <c r="A2742" s="4">
        <v>201403</v>
      </c>
      <c r="B2742" t="s">
        <v>1539</v>
      </c>
      <c r="C2742" s="5">
        <v>6534745</v>
      </c>
      <c r="D2742" s="2" t="s">
        <v>719</v>
      </c>
      <c r="E2742" s="2" t="s">
        <v>15</v>
      </c>
      <c r="F2742" s="3">
        <v>112.2</v>
      </c>
      <c r="G2742" t="s">
        <v>57</v>
      </c>
      <c r="H2742" s="1" t="s">
        <v>60</v>
      </c>
      <c r="I2742">
        <f>-23848/1160169320/1</f>
        <v>-2.055562027790909E-05</v>
      </c>
      <c r="J2742" t="s">
        <v>1540</v>
      </c>
      <c r="K2742" t="s">
        <v>1184</v>
      </c>
      <c r="L2742" t="s">
        <v>1541</v>
      </c>
      <c r="N2742" t="s">
        <v>58</v>
      </c>
    </row>
    <row r="2743" spans="1:13" ht="15">
      <c r="A2743" s="4">
        <v>201403</v>
      </c>
      <c r="B2743" t="s">
        <v>1539</v>
      </c>
      <c r="C2743" s="5">
        <v>6534745</v>
      </c>
      <c r="D2743" s="2" t="s">
        <v>719</v>
      </c>
      <c r="E2743" s="2" t="s">
        <v>15</v>
      </c>
      <c r="F2743" s="3">
        <v>1870</v>
      </c>
      <c r="G2743" t="s">
        <v>1543</v>
      </c>
      <c r="H2743" s="1" t="s">
        <v>60</v>
      </c>
      <c r="I2743" t="s">
        <v>1544</v>
      </c>
      <c r="J2743" t="s">
        <v>1540</v>
      </c>
      <c r="K2743" t="s">
        <v>1184</v>
      </c>
      <c r="L2743" t="s">
        <v>1541</v>
      </c>
      <c r="M2743">
        <v>899349</v>
      </c>
    </row>
    <row r="2744" spans="1:12" ht="15">
      <c r="A2744" s="4">
        <v>201401</v>
      </c>
      <c r="B2744" t="s">
        <v>1539</v>
      </c>
      <c r="C2744" s="5">
        <v>6534745</v>
      </c>
      <c r="D2744" s="2" t="s">
        <v>719</v>
      </c>
      <c r="E2744" s="2" t="s">
        <v>15</v>
      </c>
      <c r="F2744" s="3">
        <v>4.03</v>
      </c>
      <c r="H2744" s="1" t="s">
        <v>66</v>
      </c>
      <c r="I2744" t="s">
        <v>67</v>
      </c>
      <c r="J2744" t="s">
        <v>1540</v>
      </c>
      <c r="K2744" t="s">
        <v>1184</v>
      </c>
      <c r="L2744" t="s">
        <v>1541</v>
      </c>
    </row>
    <row r="2745" spans="1:12" ht="15">
      <c r="A2745" s="4">
        <v>201402</v>
      </c>
      <c r="B2745" t="s">
        <v>1539</v>
      </c>
      <c r="C2745" s="5">
        <v>6534745</v>
      </c>
      <c r="D2745" s="2" t="s">
        <v>719</v>
      </c>
      <c r="E2745" s="2" t="s">
        <v>15</v>
      </c>
      <c r="F2745" s="3">
        <v>2.29</v>
      </c>
      <c r="H2745" s="1" t="s">
        <v>66</v>
      </c>
      <c r="I2745" t="s">
        <v>67</v>
      </c>
      <c r="J2745" t="s">
        <v>1540</v>
      </c>
      <c r="K2745" t="s">
        <v>1184</v>
      </c>
      <c r="L2745" t="s">
        <v>1541</v>
      </c>
    </row>
    <row r="2746" spans="1:12" ht="15">
      <c r="A2746" s="4">
        <v>201410</v>
      </c>
      <c r="B2746" t="s">
        <v>1539</v>
      </c>
      <c r="C2746" s="5">
        <v>6534745</v>
      </c>
      <c r="D2746" s="2" t="s">
        <v>719</v>
      </c>
      <c r="E2746" s="2" t="s">
        <v>15</v>
      </c>
      <c r="F2746" s="3">
        <v>0.06</v>
      </c>
      <c r="H2746" s="1" t="s">
        <v>66</v>
      </c>
      <c r="I2746" t="s">
        <v>67</v>
      </c>
      <c r="J2746" t="s">
        <v>1540</v>
      </c>
      <c r="K2746" t="s">
        <v>1184</v>
      </c>
      <c r="L2746" t="s">
        <v>1541</v>
      </c>
    </row>
    <row r="2747" spans="1:12" ht="15">
      <c r="A2747" s="4">
        <v>201401</v>
      </c>
      <c r="B2747" t="s">
        <v>1539</v>
      </c>
      <c r="C2747" s="5">
        <v>6534745</v>
      </c>
      <c r="D2747" s="2" t="s">
        <v>719</v>
      </c>
      <c r="E2747" s="2" t="s">
        <v>15</v>
      </c>
      <c r="F2747" s="3">
        <v>0</v>
      </c>
      <c r="H2747" s="1" t="s">
        <v>68</v>
      </c>
      <c r="J2747" t="s">
        <v>1540</v>
      </c>
      <c r="K2747" t="s">
        <v>1184</v>
      </c>
      <c r="L2747" t="s">
        <v>1541</v>
      </c>
    </row>
    <row r="2748" spans="1:12" ht="15">
      <c r="A2748" s="4">
        <v>201401</v>
      </c>
      <c r="B2748" t="s">
        <v>1539</v>
      </c>
      <c r="C2748" s="5">
        <v>6534745</v>
      </c>
      <c r="D2748" s="2" t="s">
        <v>719</v>
      </c>
      <c r="E2748" s="2" t="s">
        <v>15</v>
      </c>
      <c r="F2748" s="3">
        <v>0</v>
      </c>
      <c r="H2748" s="1" t="s">
        <v>68</v>
      </c>
      <c r="J2748" t="s">
        <v>1540</v>
      </c>
      <c r="K2748" t="s">
        <v>1184</v>
      </c>
      <c r="L2748" t="s">
        <v>1541</v>
      </c>
    </row>
    <row r="2749" spans="1:12" ht="15">
      <c r="A2749" s="4">
        <v>201401</v>
      </c>
      <c r="B2749" t="s">
        <v>1539</v>
      </c>
      <c r="C2749" s="5">
        <v>6534745</v>
      </c>
      <c r="D2749" s="2" t="s">
        <v>719</v>
      </c>
      <c r="E2749" s="2" t="s">
        <v>15</v>
      </c>
      <c r="F2749" s="3">
        <v>24</v>
      </c>
      <c r="H2749" s="1" t="s">
        <v>68</v>
      </c>
      <c r="J2749" t="s">
        <v>1540</v>
      </c>
      <c r="K2749" t="s">
        <v>1184</v>
      </c>
      <c r="L2749" t="s">
        <v>1541</v>
      </c>
    </row>
    <row r="2750" spans="1:12" ht="15">
      <c r="A2750" s="4">
        <v>201403</v>
      </c>
      <c r="B2750" t="s">
        <v>1539</v>
      </c>
      <c r="C2750" s="5">
        <v>6542417</v>
      </c>
      <c r="D2750" s="2" t="s">
        <v>1545</v>
      </c>
      <c r="E2750" s="2" t="s">
        <v>15</v>
      </c>
      <c r="F2750" s="3">
        <v>7.73</v>
      </c>
      <c r="H2750" s="1" t="s">
        <v>14</v>
      </c>
      <c r="I2750" t="s">
        <v>35</v>
      </c>
      <c r="J2750" t="s">
        <v>1540</v>
      </c>
      <c r="K2750" t="s">
        <v>1184</v>
      </c>
      <c r="L2750" t="s">
        <v>1541</v>
      </c>
    </row>
    <row r="2751" spans="1:12" ht="15">
      <c r="A2751" s="4">
        <v>201403</v>
      </c>
      <c r="B2751" t="s">
        <v>1539</v>
      </c>
      <c r="C2751" s="5">
        <v>6542417</v>
      </c>
      <c r="D2751" s="2" t="s">
        <v>1545</v>
      </c>
      <c r="E2751" s="2" t="s">
        <v>15</v>
      </c>
      <c r="F2751" s="3">
        <v>23.58</v>
      </c>
      <c r="H2751" s="1" t="s">
        <v>14</v>
      </c>
      <c r="I2751" t="s">
        <v>456</v>
      </c>
      <c r="J2751" t="s">
        <v>1540</v>
      </c>
      <c r="K2751" t="s">
        <v>1184</v>
      </c>
      <c r="L2751" t="s">
        <v>1541</v>
      </c>
    </row>
    <row r="2752" spans="1:12" ht="15">
      <c r="A2752" s="4">
        <v>201403</v>
      </c>
      <c r="B2752" t="s">
        <v>1539</v>
      </c>
      <c r="C2752" s="5">
        <v>6542417</v>
      </c>
      <c r="D2752" s="2" t="s">
        <v>1545</v>
      </c>
      <c r="E2752" s="2" t="s">
        <v>15</v>
      </c>
      <c r="F2752" s="3">
        <v>42.77</v>
      </c>
      <c r="H2752" s="1" t="s">
        <v>14</v>
      </c>
      <c r="I2752" t="s">
        <v>263</v>
      </c>
      <c r="J2752" t="s">
        <v>1540</v>
      </c>
      <c r="K2752" t="s">
        <v>1184</v>
      </c>
      <c r="L2752" t="s">
        <v>1541</v>
      </c>
    </row>
    <row r="2753" spans="1:12" ht="15">
      <c r="A2753" s="4">
        <v>201403</v>
      </c>
      <c r="B2753" t="s">
        <v>1539</v>
      </c>
      <c r="C2753" s="5">
        <v>6542417</v>
      </c>
      <c r="D2753" s="2" t="s">
        <v>1545</v>
      </c>
      <c r="E2753" s="2" t="s">
        <v>15</v>
      </c>
      <c r="F2753" s="3">
        <v>44</v>
      </c>
      <c r="H2753" s="1" t="s">
        <v>14</v>
      </c>
      <c r="I2753" t="s">
        <v>390</v>
      </c>
      <c r="J2753" t="s">
        <v>1540</v>
      </c>
      <c r="K2753" t="s">
        <v>1184</v>
      </c>
      <c r="L2753" t="s">
        <v>1541</v>
      </c>
    </row>
    <row r="2754" spans="1:13" ht="15">
      <c r="A2754" s="4">
        <v>201404</v>
      </c>
      <c r="B2754" t="s">
        <v>1539</v>
      </c>
      <c r="C2754" s="5">
        <v>6542417</v>
      </c>
      <c r="D2754" s="2" t="s">
        <v>1545</v>
      </c>
      <c r="E2754" s="2" t="s">
        <v>15</v>
      </c>
      <c r="F2754" s="3">
        <v>1674.84</v>
      </c>
      <c r="G2754" t="s">
        <v>49</v>
      </c>
      <c r="H2754" s="1" t="s">
        <v>46</v>
      </c>
      <c r="I2754" t="s">
        <v>1546</v>
      </c>
      <c r="J2754" t="s">
        <v>1540</v>
      </c>
      <c r="K2754" t="s">
        <v>1184</v>
      </c>
      <c r="L2754" t="s">
        <v>1541</v>
      </c>
      <c r="M2754">
        <v>903434</v>
      </c>
    </row>
    <row r="2755" spans="1:12" ht="15">
      <c r="A2755" s="4">
        <v>201405</v>
      </c>
      <c r="B2755" t="s">
        <v>1539</v>
      </c>
      <c r="C2755" s="5">
        <v>6558542</v>
      </c>
      <c r="D2755" s="2" t="s">
        <v>1548</v>
      </c>
      <c r="E2755" s="2" t="s">
        <v>15</v>
      </c>
      <c r="F2755" s="3">
        <v>115.2</v>
      </c>
      <c r="H2755" s="1" t="s">
        <v>14</v>
      </c>
      <c r="I2755" t="s">
        <v>1547</v>
      </c>
      <c r="J2755" t="s">
        <v>1540</v>
      </c>
      <c r="K2755" t="s">
        <v>1184</v>
      </c>
      <c r="L2755" t="s">
        <v>1541</v>
      </c>
    </row>
    <row r="2756" spans="1:12" ht="15">
      <c r="A2756" s="4">
        <v>201405</v>
      </c>
      <c r="B2756" t="s">
        <v>1539</v>
      </c>
      <c r="C2756" s="5">
        <v>6558542</v>
      </c>
      <c r="D2756" s="2" t="s">
        <v>1548</v>
      </c>
      <c r="E2756" s="2" t="s">
        <v>15</v>
      </c>
      <c r="F2756" s="3">
        <v>4713.87</v>
      </c>
      <c r="H2756" s="1" t="s">
        <v>14</v>
      </c>
      <c r="I2756" t="s">
        <v>1549</v>
      </c>
      <c r="J2756" t="s">
        <v>1540</v>
      </c>
      <c r="K2756" t="s">
        <v>1184</v>
      </c>
      <c r="L2756" t="s">
        <v>1541</v>
      </c>
    </row>
    <row r="2757" spans="1:13" ht="15">
      <c r="A2757" s="4">
        <v>201404</v>
      </c>
      <c r="B2757" t="s">
        <v>1539</v>
      </c>
      <c r="C2757" s="5">
        <v>6558542</v>
      </c>
      <c r="D2757" s="2" t="s">
        <v>1548</v>
      </c>
      <c r="E2757" s="2" t="s">
        <v>15</v>
      </c>
      <c r="F2757" s="3">
        <v>1000</v>
      </c>
      <c r="G2757" t="s">
        <v>1543</v>
      </c>
      <c r="H2757" s="1" t="s">
        <v>44</v>
      </c>
      <c r="I2757" t="e">
        <f>-labor-FOR Service work on the Coal Feeders</f>
        <v>#NAME?</v>
      </c>
      <c r="J2757" t="s">
        <v>1540</v>
      </c>
      <c r="K2757" t="s">
        <v>1184</v>
      </c>
      <c r="L2757" t="s">
        <v>1541</v>
      </c>
      <c r="M2757">
        <v>902775</v>
      </c>
    </row>
    <row r="2758" spans="1:13" ht="15">
      <c r="A2758" s="4">
        <v>201405</v>
      </c>
      <c r="B2758" t="s">
        <v>1539</v>
      </c>
      <c r="C2758" s="5">
        <v>6558542</v>
      </c>
      <c r="D2758" s="2" t="s">
        <v>1548</v>
      </c>
      <c r="E2758" s="2" t="s">
        <v>15</v>
      </c>
      <c r="F2758" s="3">
        <v>6545.68</v>
      </c>
      <c r="G2758" t="s">
        <v>1543</v>
      </c>
      <c r="H2758" s="1" t="s">
        <v>44</v>
      </c>
      <c r="I2758" t="s">
        <v>1550</v>
      </c>
      <c r="J2758" t="s">
        <v>1540</v>
      </c>
      <c r="K2758" t="s">
        <v>1184</v>
      </c>
      <c r="L2758" t="s">
        <v>1541</v>
      </c>
      <c r="M2758">
        <v>904612</v>
      </c>
    </row>
    <row r="2759" spans="1:13" ht="15">
      <c r="A2759" s="4">
        <v>201405</v>
      </c>
      <c r="B2759" t="s">
        <v>1539</v>
      </c>
      <c r="C2759" s="5">
        <v>6558542</v>
      </c>
      <c r="D2759" s="2" t="s">
        <v>1548</v>
      </c>
      <c r="E2759" s="2" t="s">
        <v>15</v>
      </c>
      <c r="F2759" s="3">
        <v>7597.24</v>
      </c>
      <c r="G2759" t="s">
        <v>1543</v>
      </c>
      <c r="H2759" s="1" t="s">
        <v>44</v>
      </c>
      <c r="I2759" t="e">
        <f>-labor-FOR Service work on the Coal Feeders</f>
        <v>#NAME?</v>
      </c>
      <c r="J2759" t="s">
        <v>1540</v>
      </c>
      <c r="K2759" t="s">
        <v>1184</v>
      </c>
      <c r="L2759" t="s">
        <v>1541</v>
      </c>
      <c r="M2759">
        <v>902775</v>
      </c>
    </row>
    <row r="2760" spans="1:14" ht="15">
      <c r="A2760" s="4">
        <v>201405</v>
      </c>
      <c r="B2760" t="s">
        <v>1539</v>
      </c>
      <c r="C2760" s="5">
        <v>6558542</v>
      </c>
      <c r="D2760" s="2" t="s">
        <v>1548</v>
      </c>
      <c r="E2760" s="2" t="s">
        <v>15</v>
      </c>
      <c r="F2760" s="3">
        <v>23.47</v>
      </c>
      <c r="G2760" t="s">
        <v>57</v>
      </c>
      <c r="H2760" s="1" t="s">
        <v>60</v>
      </c>
      <c r="I2760">
        <f>-23848/1160175297/1</f>
        <v>-2.0555514379306766E-05</v>
      </c>
      <c r="J2760" t="s">
        <v>1540</v>
      </c>
      <c r="K2760" t="s">
        <v>1184</v>
      </c>
      <c r="L2760" t="s">
        <v>1541</v>
      </c>
      <c r="N2760" t="s">
        <v>58</v>
      </c>
    </row>
    <row r="2761" spans="1:14" ht="15">
      <c r="A2761" s="4">
        <v>201405</v>
      </c>
      <c r="B2761" t="s">
        <v>1539</v>
      </c>
      <c r="C2761" s="5">
        <v>6558542</v>
      </c>
      <c r="D2761" s="2" t="s">
        <v>1548</v>
      </c>
      <c r="E2761" s="2" t="s">
        <v>15</v>
      </c>
      <c r="F2761" s="3">
        <v>152.76</v>
      </c>
      <c r="G2761" t="s">
        <v>57</v>
      </c>
      <c r="H2761" s="1" t="s">
        <v>60</v>
      </c>
      <c r="I2761">
        <f>-23848/1160175473/1</f>
        <v>-2.0555511261010773E-05</v>
      </c>
      <c r="J2761" t="s">
        <v>1540</v>
      </c>
      <c r="K2761" t="s">
        <v>1184</v>
      </c>
      <c r="L2761" t="s">
        <v>1541</v>
      </c>
      <c r="N2761" t="s">
        <v>58</v>
      </c>
    </row>
    <row r="2762" spans="1:13" ht="15">
      <c r="A2762" s="4">
        <v>201405</v>
      </c>
      <c r="B2762" t="s">
        <v>1539</v>
      </c>
      <c r="C2762" s="5">
        <v>6558542</v>
      </c>
      <c r="D2762" s="2" t="s">
        <v>1548</v>
      </c>
      <c r="E2762" s="2" t="s">
        <v>15</v>
      </c>
      <c r="F2762" s="3">
        <v>391.14</v>
      </c>
      <c r="G2762" t="s">
        <v>1543</v>
      </c>
      <c r="H2762" s="1" t="s">
        <v>60</v>
      </c>
      <c r="I2762" t="e">
        <f>-Scraper-blade Rubber Belt Scraper</f>
        <v>#NAME?</v>
      </c>
      <c r="J2762" t="s">
        <v>1540</v>
      </c>
      <c r="K2762" t="s">
        <v>1184</v>
      </c>
      <c r="L2762" t="s">
        <v>1541</v>
      </c>
      <c r="M2762">
        <v>905145</v>
      </c>
    </row>
    <row r="2763" spans="1:13" ht="15">
      <c r="A2763" s="4">
        <v>201405</v>
      </c>
      <c r="B2763" t="s">
        <v>1539</v>
      </c>
      <c r="C2763" s="5">
        <v>6558542</v>
      </c>
      <c r="D2763" s="2" t="s">
        <v>1548</v>
      </c>
      <c r="E2763" s="2" t="s">
        <v>15</v>
      </c>
      <c r="F2763" s="3">
        <v>2546</v>
      </c>
      <c r="G2763" t="s">
        <v>1543</v>
      </c>
      <c r="H2763" s="1" t="s">
        <v>60</v>
      </c>
      <c r="I2763" t="e">
        <f>-ASSEMBLY,ROLLER-ROLLER ASSEMBLY Weigh Span Feeder (V411332.B01)</f>
        <v>#NAME?</v>
      </c>
      <c r="J2763" t="s">
        <v>1540</v>
      </c>
      <c r="K2763" t="s">
        <v>1184</v>
      </c>
      <c r="L2763" t="s">
        <v>1541</v>
      </c>
      <c r="M2763">
        <v>904650</v>
      </c>
    </row>
    <row r="2764" spans="1:12" ht="15">
      <c r="A2764" s="4">
        <v>201404</v>
      </c>
      <c r="B2764" t="s">
        <v>1539</v>
      </c>
      <c r="C2764" s="5">
        <v>6558542</v>
      </c>
      <c r="D2764" s="2" t="s">
        <v>1548</v>
      </c>
      <c r="E2764" s="2" t="s">
        <v>15</v>
      </c>
      <c r="F2764" s="3">
        <v>6.4</v>
      </c>
      <c r="H2764" s="1" t="s">
        <v>66</v>
      </c>
      <c r="I2764" t="s">
        <v>67</v>
      </c>
      <c r="J2764" t="s">
        <v>1540</v>
      </c>
      <c r="K2764" t="s">
        <v>1184</v>
      </c>
      <c r="L2764" t="s">
        <v>1541</v>
      </c>
    </row>
    <row r="2765" spans="1:12" ht="15">
      <c r="A2765" s="4">
        <v>201405</v>
      </c>
      <c r="B2765" t="s">
        <v>1539</v>
      </c>
      <c r="C2765" s="5">
        <v>6558542</v>
      </c>
      <c r="D2765" s="2" t="s">
        <v>1548</v>
      </c>
      <c r="E2765" s="2" t="s">
        <v>15</v>
      </c>
      <c r="F2765" s="3">
        <v>9</v>
      </c>
      <c r="H2765" s="1" t="s">
        <v>66</v>
      </c>
      <c r="I2765" t="s">
        <v>67</v>
      </c>
      <c r="J2765" t="s">
        <v>1540</v>
      </c>
      <c r="K2765" t="s">
        <v>1184</v>
      </c>
      <c r="L2765" t="s">
        <v>1541</v>
      </c>
    </row>
    <row r="2766" spans="1:12" ht="15">
      <c r="A2766" s="4">
        <v>201404</v>
      </c>
      <c r="B2766" t="s">
        <v>1539</v>
      </c>
      <c r="C2766" s="5">
        <v>6558542</v>
      </c>
      <c r="D2766" s="2" t="s">
        <v>1548</v>
      </c>
      <c r="E2766" s="2" t="s">
        <v>15</v>
      </c>
      <c r="F2766" s="3">
        <v>0</v>
      </c>
      <c r="H2766" s="1" t="s">
        <v>68</v>
      </c>
      <c r="J2766" t="s">
        <v>1540</v>
      </c>
      <c r="K2766" t="s">
        <v>1184</v>
      </c>
      <c r="L2766" t="s">
        <v>1541</v>
      </c>
    </row>
    <row r="2767" spans="1:12" ht="15">
      <c r="A2767" s="4">
        <v>201404</v>
      </c>
      <c r="B2767" t="s">
        <v>1539</v>
      </c>
      <c r="C2767" s="5">
        <v>6558542</v>
      </c>
      <c r="D2767" s="2" t="s">
        <v>1548</v>
      </c>
      <c r="E2767" s="2" t="s">
        <v>15</v>
      </c>
      <c r="F2767" s="3">
        <v>18</v>
      </c>
      <c r="H2767" s="1" t="s">
        <v>68</v>
      </c>
      <c r="J2767" t="s">
        <v>1540</v>
      </c>
      <c r="K2767" t="s">
        <v>1184</v>
      </c>
      <c r="L2767" t="s">
        <v>1541</v>
      </c>
    </row>
    <row r="2768" spans="1:12" ht="15">
      <c r="A2768" s="4">
        <v>201407</v>
      </c>
      <c r="B2768" t="s">
        <v>1539</v>
      </c>
      <c r="C2768" s="5">
        <v>6586108</v>
      </c>
      <c r="D2768" s="2" t="s">
        <v>1551</v>
      </c>
      <c r="E2768" s="2" t="s">
        <v>261</v>
      </c>
      <c r="F2768" s="3">
        <v>6.3</v>
      </c>
      <c r="H2768" s="1" t="s">
        <v>14</v>
      </c>
      <c r="I2768" t="s">
        <v>23</v>
      </c>
      <c r="J2768" t="s">
        <v>1540</v>
      </c>
      <c r="K2768" t="s">
        <v>1184</v>
      </c>
      <c r="L2768" t="s">
        <v>1541</v>
      </c>
    </row>
    <row r="2769" spans="1:12" ht="15">
      <c r="A2769" s="4">
        <v>201407</v>
      </c>
      <c r="B2769" t="s">
        <v>1539</v>
      </c>
      <c r="C2769" s="5">
        <v>6586108</v>
      </c>
      <c r="D2769" s="2" t="s">
        <v>1551</v>
      </c>
      <c r="E2769" s="2" t="s">
        <v>261</v>
      </c>
      <c r="F2769" s="3">
        <v>6.94</v>
      </c>
      <c r="H2769" s="1" t="s">
        <v>14</v>
      </c>
      <c r="I2769" t="s">
        <v>18</v>
      </c>
      <c r="J2769" t="s">
        <v>1540</v>
      </c>
      <c r="K2769" t="s">
        <v>1184</v>
      </c>
      <c r="L2769" t="s">
        <v>1541</v>
      </c>
    </row>
    <row r="2770" spans="1:12" ht="15">
      <c r="A2770" s="4">
        <v>201407</v>
      </c>
      <c r="B2770" t="s">
        <v>1539</v>
      </c>
      <c r="C2770" s="5">
        <v>6586108</v>
      </c>
      <c r="D2770" s="2" t="s">
        <v>1551</v>
      </c>
      <c r="E2770" s="2" t="s">
        <v>261</v>
      </c>
      <c r="F2770" s="3">
        <v>30.92</v>
      </c>
      <c r="H2770" s="1" t="s">
        <v>14</v>
      </c>
      <c r="I2770" t="s">
        <v>35</v>
      </c>
      <c r="J2770" t="s">
        <v>1540</v>
      </c>
      <c r="K2770" t="s">
        <v>1184</v>
      </c>
      <c r="L2770" t="s">
        <v>1541</v>
      </c>
    </row>
    <row r="2771" spans="1:12" ht="15">
      <c r="A2771" s="4">
        <v>201407</v>
      </c>
      <c r="B2771" t="s">
        <v>1539</v>
      </c>
      <c r="C2771" s="5">
        <v>6586108</v>
      </c>
      <c r="D2771" s="2" t="s">
        <v>1551</v>
      </c>
      <c r="E2771" s="2" t="s">
        <v>261</v>
      </c>
      <c r="F2771" s="3">
        <v>86.75</v>
      </c>
      <c r="H2771" s="1" t="s">
        <v>14</v>
      </c>
      <c r="I2771" t="s">
        <v>441</v>
      </c>
      <c r="J2771" t="s">
        <v>1540</v>
      </c>
      <c r="K2771" t="s">
        <v>1184</v>
      </c>
      <c r="L2771" t="s">
        <v>1541</v>
      </c>
    </row>
    <row r="2772" spans="1:12" ht="15">
      <c r="A2772" s="4">
        <v>201407</v>
      </c>
      <c r="B2772" t="s">
        <v>1539</v>
      </c>
      <c r="C2772" s="5">
        <v>6586108</v>
      </c>
      <c r="D2772" s="2" t="s">
        <v>1551</v>
      </c>
      <c r="E2772" s="2" t="s">
        <v>261</v>
      </c>
      <c r="F2772" s="3">
        <v>126.4</v>
      </c>
      <c r="H2772" s="1" t="s">
        <v>14</v>
      </c>
      <c r="I2772" t="s">
        <v>809</v>
      </c>
      <c r="J2772" t="s">
        <v>1540</v>
      </c>
      <c r="K2772" t="s">
        <v>1184</v>
      </c>
      <c r="L2772" t="s">
        <v>1541</v>
      </c>
    </row>
    <row r="2773" spans="1:13" ht="15">
      <c r="A2773" s="4">
        <v>201407</v>
      </c>
      <c r="B2773" t="s">
        <v>1539</v>
      </c>
      <c r="C2773" s="5">
        <v>6586108</v>
      </c>
      <c r="D2773" s="2" t="s">
        <v>1551</v>
      </c>
      <c r="E2773" s="2" t="s">
        <v>261</v>
      </c>
      <c r="F2773" s="3">
        <v>413.78</v>
      </c>
      <c r="G2773" t="s">
        <v>47</v>
      </c>
      <c r="H2773" s="1" t="s">
        <v>44</v>
      </c>
      <c r="I2773" t="s">
        <v>1552</v>
      </c>
      <c r="J2773" t="s">
        <v>1540</v>
      </c>
      <c r="K2773" t="s">
        <v>1184</v>
      </c>
      <c r="L2773" t="s">
        <v>1541</v>
      </c>
      <c r="M2773">
        <v>909516</v>
      </c>
    </row>
    <row r="2774" spans="1:13" ht="15">
      <c r="A2774" s="4">
        <v>201408</v>
      </c>
      <c r="B2774" t="s">
        <v>1539</v>
      </c>
      <c r="C2774" s="5">
        <v>6586108</v>
      </c>
      <c r="D2774" s="2" t="s">
        <v>1551</v>
      </c>
      <c r="E2774" s="2" t="s">
        <v>261</v>
      </c>
      <c r="F2774" s="3">
        <v>5163.75</v>
      </c>
      <c r="G2774" t="s">
        <v>1553</v>
      </c>
      <c r="H2774" s="1" t="s">
        <v>44</v>
      </c>
      <c r="I2774" t="s">
        <v>1554</v>
      </c>
      <c r="J2774" t="s">
        <v>1540</v>
      </c>
      <c r="K2774" t="s">
        <v>1184</v>
      </c>
      <c r="L2774" t="s">
        <v>1541</v>
      </c>
      <c r="M2774">
        <v>908670</v>
      </c>
    </row>
    <row r="2775" spans="1:13" ht="15">
      <c r="A2775" s="4">
        <v>201407</v>
      </c>
      <c r="B2775" t="s">
        <v>1539</v>
      </c>
      <c r="C2775" s="5">
        <v>6586108</v>
      </c>
      <c r="D2775" s="2" t="s">
        <v>1551</v>
      </c>
      <c r="E2775" s="2" t="s">
        <v>261</v>
      </c>
      <c r="F2775" s="3">
        <v>7218.7</v>
      </c>
      <c r="G2775" t="s">
        <v>47</v>
      </c>
      <c r="H2775" s="1" t="s">
        <v>46</v>
      </c>
      <c r="I2775" t="s">
        <v>1525</v>
      </c>
      <c r="J2775" t="s">
        <v>1540</v>
      </c>
      <c r="K2775" t="s">
        <v>1184</v>
      </c>
      <c r="L2775" t="s">
        <v>1541</v>
      </c>
      <c r="M2775">
        <v>909515</v>
      </c>
    </row>
    <row r="2776" spans="1:14" ht="15">
      <c r="A2776" s="4">
        <v>201407</v>
      </c>
      <c r="B2776" t="s">
        <v>1539</v>
      </c>
      <c r="C2776" s="5">
        <v>6586108</v>
      </c>
      <c r="D2776" s="2" t="s">
        <v>1551</v>
      </c>
      <c r="E2776" s="2" t="s">
        <v>261</v>
      </c>
      <c r="F2776" s="3">
        <v>210.24</v>
      </c>
      <c r="G2776" t="s">
        <v>57</v>
      </c>
      <c r="H2776" s="1" t="s">
        <v>60</v>
      </c>
      <c r="I2776">
        <f>-13785/901752/1</f>
        <v>-0.01528690815213052</v>
      </c>
      <c r="J2776" t="s">
        <v>1540</v>
      </c>
      <c r="K2776" t="s">
        <v>1184</v>
      </c>
      <c r="L2776" t="s">
        <v>1541</v>
      </c>
      <c r="N2776" t="s">
        <v>58</v>
      </c>
    </row>
    <row r="2777" spans="1:13" ht="15">
      <c r="A2777" s="4">
        <v>201407</v>
      </c>
      <c r="B2777" t="s">
        <v>1539</v>
      </c>
      <c r="C2777" s="5">
        <v>6586108</v>
      </c>
      <c r="D2777" s="2" t="s">
        <v>1551</v>
      </c>
      <c r="E2777" s="2" t="s">
        <v>261</v>
      </c>
      <c r="F2777" s="3">
        <v>3504</v>
      </c>
      <c r="G2777" t="s">
        <v>1555</v>
      </c>
      <c r="H2777" s="1" t="s">
        <v>60</v>
      </c>
      <c r="I2777" t="s">
        <v>1556</v>
      </c>
      <c r="J2777" t="s">
        <v>1540</v>
      </c>
      <c r="K2777" t="s">
        <v>1184</v>
      </c>
      <c r="L2777" t="s">
        <v>1541</v>
      </c>
      <c r="M2777">
        <v>908486</v>
      </c>
    </row>
    <row r="2778" spans="1:14" ht="15">
      <c r="A2778" s="4">
        <v>201407</v>
      </c>
      <c r="B2778" t="s">
        <v>1539</v>
      </c>
      <c r="C2778" s="5">
        <v>6586108</v>
      </c>
      <c r="D2778" s="2" t="s">
        <v>1551</v>
      </c>
      <c r="E2778" s="2" t="s">
        <v>261</v>
      </c>
      <c r="F2778" s="3">
        <v>42.44</v>
      </c>
      <c r="G2778" t="s">
        <v>57</v>
      </c>
      <c r="H2778" s="1" t="s">
        <v>69</v>
      </c>
      <c r="I2778">
        <f>-13785/901752/1</f>
        <v>-0.01528690815213052</v>
      </c>
      <c r="J2778" t="s">
        <v>1540</v>
      </c>
      <c r="K2778" t="s">
        <v>1184</v>
      </c>
      <c r="L2778" t="s">
        <v>1541</v>
      </c>
      <c r="N2778" t="s">
        <v>58</v>
      </c>
    </row>
    <row r="2779" spans="1:12" ht="15">
      <c r="A2779" s="4">
        <v>201407</v>
      </c>
      <c r="B2779" t="s">
        <v>1539</v>
      </c>
      <c r="C2779" s="5">
        <v>6586108</v>
      </c>
      <c r="D2779" s="2" t="s">
        <v>1551</v>
      </c>
      <c r="E2779" s="2" t="s">
        <v>261</v>
      </c>
      <c r="F2779" s="3">
        <v>707.3</v>
      </c>
      <c r="G2779" t="s">
        <v>1555</v>
      </c>
      <c r="H2779" s="1" t="s">
        <v>69</v>
      </c>
      <c r="I2779" t="e">
        <f>-freight</f>
        <v>#NAME?</v>
      </c>
      <c r="J2779" t="s">
        <v>1540</v>
      </c>
      <c r="K2779" t="s">
        <v>1184</v>
      </c>
      <c r="L2779" t="s">
        <v>1541</v>
      </c>
    </row>
    <row r="2780" spans="1:12" ht="15">
      <c r="A2780" s="4">
        <v>201409</v>
      </c>
      <c r="B2780" t="s">
        <v>1539</v>
      </c>
      <c r="C2780" s="5">
        <v>6606658</v>
      </c>
      <c r="D2780" s="2" t="s">
        <v>1558</v>
      </c>
      <c r="E2780" s="2" t="s">
        <v>238</v>
      </c>
      <c r="F2780" s="3">
        <v>62.26</v>
      </c>
      <c r="H2780" s="1" t="s">
        <v>14</v>
      </c>
      <c r="I2780" t="s">
        <v>1557</v>
      </c>
      <c r="J2780" t="s">
        <v>1540</v>
      </c>
      <c r="K2780" t="s">
        <v>1184</v>
      </c>
      <c r="L2780" t="s">
        <v>1541</v>
      </c>
    </row>
    <row r="2781" spans="1:12" ht="15">
      <c r="A2781" s="4">
        <v>201409</v>
      </c>
      <c r="B2781" t="s">
        <v>1539</v>
      </c>
      <c r="C2781" s="5">
        <v>6606658</v>
      </c>
      <c r="D2781" s="2" t="s">
        <v>1558</v>
      </c>
      <c r="E2781" s="2" t="s">
        <v>238</v>
      </c>
      <c r="F2781" s="3">
        <v>2.17</v>
      </c>
      <c r="H2781" s="1" t="s">
        <v>66</v>
      </c>
      <c r="I2781" t="s">
        <v>67</v>
      </c>
      <c r="J2781" t="s">
        <v>1540</v>
      </c>
      <c r="K2781" t="s">
        <v>1184</v>
      </c>
      <c r="L2781" t="s">
        <v>1541</v>
      </c>
    </row>
    <row r="2782" spans="1:12" ht="15">
      <c r="A2782" s="4">
        <v>201407</v>
      </c>
      <c r="B2782" t="s">
        <v>1559</v>
      </c>
      <c r="C2782" s="5">
        <v>6444001</v>
      </c>
      <c r="D2782" s="2" t="s">
        <v>1562</v>
      </c>
      <c r="E2782" s="2" t="s">
        <v>15</v>
      </c>
      <c r="F2782" s="3">
        <v>-2645.1</v>
      </c>
      <c r="H2782" s="1" t="s">
        <v>43</v>
      </c>
      <c r="I2782" t="s">
        <v>1560</v>
      </c>
      <c r="J2782" t="s">
        <v>1561</v>
      </c>
      <c r="K2782" t="s">
        <v>1184</v>
      </c>
      <c r="L2782" t="s">
        <v>1541</v>
      </c>
    </row>
    <row r="2783" spans="1:13" ht="15">
      <c r="A2783" s="4">
        <v>201403</v>
      </c>
      <c r="B2783" t="s">
        <v>1559</v>
      </c>
      <c r="C2783" s="5">
        <v>6444001</v>
      </c>
      <c r="D2783" s="2" t="s">
        <v>1562</v>
      </c>
      <c r="E2783" s="2" t="s">
        <v>15</v>
      </c>
      <c r="F2783" s="3">
        <v>249.16</v>
      </c>
      <c r="G2783" t="s">
        <v>47</v>
      </c>
      <c r="H2783" s="1" t="s">
        <v>44</v>
      </c>
      <c r="I2783" t="s">
        <v>1563</v>
      </c>
      <c r="J2783" t="s">
        <v>1561</v>
      </c>
      <c r="K2783" t="s">
        <v>1184</v>
      </c>
      <c r="L2783" t="s">
        <v>1541</v>
      </c>
      <c r="M2783">
        <v>902059</v>
      </c>
    </row>
    <row r="2784" spans="1:13" ht="15">
      <c r="A2784" s="4">
        <v>201404</v>
      </c>
      <c r="B2784" t="s">
        <v>1559</v>
      </c>
      <c r="C2784" s="5">
        <v>6444001</v>
      </c>
      <c r="D2784" s="2" t="s">
        <v>1562</v>
      </c>
      <c r="E2784" s="2" t="s">
        <v>15</v>
      </c>
      <c r="F2784" s="3">
        <v>593.89</v>
      </c>
      <c r="G2784" t="s">
        <v>47</v>
      </c>
      <c r="H2784" s="1" t="s">
        <v>46</v>
      </c>
      <c r="I2784" t="s">
        <v>48</v>
      </c>
      <c r="J2784" t="s">
        <v>1561</v>
      </c>
      <c r="K2784" t="s">
        <v>1184</v>
      </c>
      <c r="L2784" t="s">
        <v>1541</v>
      </c>
      <c r="M2784">
        <v>904363</v>
      </c>
    </row>
    <row r="2785" spans="1:13" ht="15">
      <c r="A2785" s="4">
        <v>201404</v>
      </c>
      <c r="B2785" t="s">
        <v>1559</v>
      </c>
      <c r="C2785" s="5">
        <v>6444001</v>
      </c>
      <c r="D2785" s="2" t="s">
        <v>1562</v>
      </c>
      <c r="E2785" s="2" t="s">
        <v>15</v>
      </c>
      <c r="F2785" s="3">
        <v>2130.98</v>
      </c>
      <c r="G2785" t="s">
        <v>47</v>
      </c>
      <c r="H2785" s="1" t="s">
        <v>46</v>
      </c>
      <c r="I2785" t="s">
        <v>1564</v>
      </c>
      <c r="J2785" t="s">
        <v>1561</v>
      </c>
      <c r="K2785" t="s">
        <v>1184</v>
      </c>
      <c r="L2785" t="s">
        <v>1541</v>
      </c>
      <c r="M2785">
        <v>904372</v>
      </c>
    </row>
    <row r="2786" spans="1:13" ht="15">
      <c r="A2786" s="4">
        <v>201405</v>
      </c>
      <c r="B2786" t="s">
        <v>1559</v>
      </c>
      <c r="C2786" s="5">
        <v>6444001</v>
      </c>
      <c r="D2786" s="2" t="s">
        <v>1562</v>
      </c>
      <c r="E2786" s="2" t="s">
        <v>15</v>
      </c>
      <c r="F2786" s="3">
        <v>2490.23</v>
      </c>
      <c r="G2786" t="s">
        <v>47</v>
      </c>
      <c r="H2786" s="1" t="s">
        <v>46</v>
      </c>
      <c r="I2786" t="s">
        <v>51</v>
      </c>
      <c r="J2786" t="s">
        <v>1561</v>
      </c>
      <c r="K2786" t="s">
        <v>1184</v>
      </c>
      <c r="L2786" t="s">
        <v>1541</v>
      </c>
      <c r="M2786">
        <v>905956</v>
      </c>
    </row>
    <row r="2787" spans="1:13" ht="15">
      <c r="A2787" s="4">
        <v>201403</v>
      </c>
      <c r="B2787" t="s">
        <v>1559</v>
      </c>
      <c r="C2787" s="5">
        <v>6497001</v>
      </c>
      <c r="D2787" s="2" t="s">
        <v>1566</v>
      </c>
      <c r="E2787" s="2" t="s">
        <v>15</v>
      </c>
      <c r="F2787" s="3">
        <v>193.66</v>
      </c>
      <c r="G2787" t="s">
        <v>47</v>
      </c>
      <c r="H2787" s="1" t="s">
        <v>78</v>
      </c>
      <c r="I2787" t="s">
        <v>1565</v>
      </c>
      <c r="J2787" t="s">
        <v>1561</v>
      </c>
      <c r="K2787" t="s">
        <v>1184</v>
      </c>
      <c r="L2787" t="s">
        <v>1541</v>
      </c>
      <c r="M2787">
        <v>901928</v>
      </c>
    </row>
    <row r="2788" spans="1:13" ht="15">
      <c r="A2788" s="4">
        <v>201404</v>
      </c>
      <c r="B2788" t="s">
        <v>1559</v>
      </c>
      <c r="C2788" s="5">
        <v>6497001</v>
      </c>
      <c r="D2788" s="2" t="s">
        <v>1566</v>
      </c>
      <c r="E2788" s="2" t="s">
        <v>15</v>
      </c>
      <c r="F2788" s="3">
        <v>-1.94</v>
      </c>
      <c r="G2788" t="s">
        <v>47</v>
      </c>
      <c r="H2788" s="1" t="s">
        <v>78</v>
      </c>
      <c r="I2788" t="s">
        <v>1565</v>
      </c>
      <c r="J2788" t="s">
        <v>1561</v>
      </c>
      <c r="K2788" t="s">
        <v>1184</v>
      </c>
      <c r="L2788" t="s">
        <v>1541</v>
      </c>
      <c r="M2788">
        <v>901928</v>
      </c>
    </row>
    <row r="2789" spans="1:13" ht="15">
      <c r="A2789" s="4">
        <v>201403</v>
      </c>
      <c r="B2789" t="s">
        <v>1559</v>
      </c>
      <c r="C2789" s="5">
        <v>6497001</v>
      </c>
      <c r="D2789" s="2" t="s">
        <v>1566</v>
      </c>
      <c r="E2789" s="2" t="s">
        <v>15</v>
      </c>
      <c r="F2789" s="3">
        <v>363.12</v>
      </c>
      <c r="G2789" t="s">
        <v>47</v>
      </c>
      <c r="H2789" s="1" t="s">
        <v>46</v>
      </c>
      <c r="I2789" t="s">
        <v>1567</v>
      </c>
      <c r="J2789" t="s">
        <v>1561</v>
      </c>
      <c r="K2789" t="s">
        <v>1184</v>
      </c>
      <c r="L2789" t="s">
        <v>1541</v>
      </c>
      <c r="M2789">
        <v>900623</v>
      </c>
    </row>
    <row r="2790" spans="1:13" ht="15">
      <c r="A2790" s="4">
        <v>201403</v>
      </c>
      <c r="B2790" t="s">
        <v>1559</v>
      </c>
      <c r="C2790" s="5">
        <v>6497001</v>
      </c>
      <c r="D2790" s="2" t="s">
        <v>1566</v>
      </c>
      <c r="E2790" s="2" t="s">
        <v>15</v>
      </c>
      <c r="F2790" s="3">
        <v>1359.89</v>
      </c>
      <c r="G2790" t="s">
        <v>47</v>
      </c>
      <c r="H2790" s="1" t="s">
        <v>46</v>
      </c>
      <c r="I2790" t="s">
        <v>1568</v>
      </c>
      <c r="J2790" t="s">
        <v>1561</v>
      </c>
      <c r="K2790" t="s">
        <v>1184</v>
      </c>
      <c r="L2790" t="s">
        <v>1541</v>
      </c>
      <c r="M2790">
        <v>901881</v>
      </c>
    </row>
    <row r="2791" spans="1:13" ht="15">
      <c r="A2791" s="4">
        <v>201403</v>
      </c>
      <c r="B2791" t="s">
        <v>1559</v>
      </c>
      <c r="C2791" s="5">
        <v>6497001</v>
      </c>
      <c r="D2791" s="2" t="s">
        <v>1566</v>
      </c>
      <c r="E2791" s="2" t="s">
        <v>15</v>
      </c>
      <c r="F2791" s="3">
        <v>1920.95</v>
      </c>
      <c r="G2791" t="s">
        <v>47</v>
      </c>
      <c r="H2791" s="1" t="s">
        <v>46</v>
      </c>
      <c r="I2791" t="s">
        <v>1569</v>
      </c>
      <c r="J2791" t="s">
        <v>1561</v>
      </c>
      <c r="K2791" t="s">
        <v>1184</v>
      </c>
      <c r="L2791" t="s">
        <v>1541</v>
      </c>
      <c r="M2791">
        <v>901927</v>
      </c>
    </row>
    <row r="2792" spans="1:13" ht="15">
      <c r="A2792" s="4">
        <v>201404</v>
      </c>
      <c r="B2792" t="s">
        <v>1559</v>
      </c>
      <c r="C2792" s="5">
        <v>6497001</v>
      </c>
      <c r="D2792" s="2" t="s">
        <v>1566</v>
      </c>
      <c r="E2792" s="2" t="s">
        <v>15</v>
      </c>
      <c r="F2792" s="3">
        <v>-19.21</v>
      </c>
      <c r="G2792" t="s">
        <v>47</v>
      </c>
      <c r="H2792" s="1" t="s">
        <v>46</v>
      </c>
      <c r="I2792" t="s">
        <v>1569</v>
      </c>
      <c r="J2792" t="s">
        <v>1561</v>
      </c>
      <c r="K2792" t="s">
        <v>1184</v>
      </c>
      <c r="L2792" t="s">
        <v>1541</v>
      </c>
      <c r="M2792">
        <v>901927</v>
      </c>
    </row>
    <row r="2793" spans="1:12" ht="15">
      <c r="A2793" s="4">
        <v>201403</v>
      </c>
      <c r="B2793" t="s">
        <v>1559</v>
      </c>
      <c r="C2793" s="5">
        <v>6497002</v>
      </c>
      <c r="D2793" s="2" t="s">
        <v>1571</v>
      </c>
      <c r="E2793" s="2" t="s">
        <v>15</v>
      </c>
      <c r="F2793" s="3">
        <v>4.43</v>
      </c>
      <c r="H2793" s="1" t="s">
        <v>14</v>
      </c>
      <c r="I2793" t="s">
        <v>1570</v>
      </c>
      <c r="J2793" t="s">
        <v>1561</v>
      </c>
      <c r="K2793" t="s">
        <v>1184</v>
      </c>
      <c r="L2793" t="s">
        <v>1541</v>
      </c>
    </row>
    <row r="2794" spans="1:12" ht="15">
      <c r="A2794" s="4">
        <v>201403</v>
      </c>
      <c r="B2794" t="s">
        <v>1559</v>
      </c>
      <c r="C2794" s="5">
        <v>6497002</v>
      </c>
      <c r="D2794" s="2" t="s">
        <v>1571</v>
      </c>
      <c r="E2794" s="2" t="s">
        <v>15</v>
      </c>
      <c r="F2794" s="3">
        <v>4.6</v>
      </c>
      <c r="H2794" s="1" t="s">
        <v>14</v>
      </c>
      <c r="I2794" t="s">
        <v>16</v>
      </c>
      <c r="J2794" t="s">
        <v>1561</v>
      </c>
      <c r="K2794" t="s">
        <v>1184</v>
      </c>
      <c r="L2794" t="s">
        <v>1541</v>
      </c>
    </row>
    <row r="2795" spans="1:12" ht="15">
      <c r="A2795" s="4">
        <v>201403</v>
      </c>
      <c r="B2795" t="s">
        <v>1559</v>
      </c>
      <c r="C2795" s="5">
        <v>6497002</v>
      </c>
      <c r="D2795" s="2" t="s">
        <v>1571</v>
      </c>
      <c r="E2795" s="2" t="s">
        <v>15</v>
      </c>
      <c r="F2795" s="3">
        <v>5.54</v>
      </c>
      <c r="H2795" s="1" t="s">
        <v>14</v>
      </c>
      <c r="I2795" t="s">
        <v>1572</v>
      </c>
      <c r="J2795" t="s">
        <v>1561</v>
      </c>
      <c r="K2795" t="s">
        <v>1184</v>
      </c>
      <c r="L2795" t="s">
        <v>1541</v>
      </c>
    </row>
    <row r="2796" spans="1:12" ht="15">
      <c r="A2796" s="4">
        <v>201403</v>
      </c>
      <c r="B2796" t="s">
        <v>1559</v>
      </c>
      <c r="C2796" s="5">
        <v>6497002</v>
      </c>
      <c r="D2796" s="2" t="s">
        <v>1571</v>
      </c>
      <c r="E2796" s="2" t="s">
        <v>15</v>
      </c>
      <c r="F2796" s="3">
        <v>6.72</v>
      </c>
      <c r="H2796" s="1" t="s">
        <v>14</v>
      </c>
      <c r="I2796" t="s">
        <v>101</v>
      </c>
      <c r="J2796" t="s">
        <v>1561</v>
      </c>
      <c r="K2796" t="s">
        <v>1184</v>
      </c>
      <c r="L2796" t="s">
        <v>1541</v>
      </c>
    </row>
    <row r="2797" spans="1:12" ht="15">
      <c r="A2797" s="4">
        <v>201403</v>
      </c>
      <c r="B2797" t="s">
        <v>1559</v>
      </c>
      <c r="C2797" s="5">
        <v>6497002</v>
      </c>
      <c r="D2797" s="2" t="s">
        <v>1571</v>
      </c>
      <c r="E2797" s="2" t="s">
        <v>15</v>
      </c>
      <c r="F2797" s="3">
        <v>7.71</v>
      </c>
      <c r="H2797" s="1" t="s">
        <v>14</v>
      </c>
      <c r="I2797" t="s">
        <v>664</v>
      </c>
      <c r="J2797" t="s">
        <v>1561</v>
      </c>
      <c r="K2797" t="s">
        <v>1184</v>
      </c>
      <c r="L2797" t="s">
        <v>1541</v>
      </c>
    </row>
    <row r="2798" spans="1:12" ht="15">
      <c r="A2798" s="4">
        <v>201403</v>
      </c>
      <c r="B2798" t="s">
        <v>1559</v>
      </c>
      <c r="C2798" s="5">
        <v>6497002</v>
      </c>
      <c r="D2798" s="2" t="s">
        <v>1571</v>
      </c>
      <c r="E2798" s="2" t="s">
        <v>15</v>
      </c>
      <c r="F2798" s="3">
        <v>10.84</v>
      </c>
      <c r="H2798" s="1" t="s">
        <v>14</v>
      </c>
      <c r="I2798" t="s">
        <v>663</v>
      </c>
      <c r="J2798" t="s">
        <v>1561</v>
      </c>
      <c r="K2798" t="s">
        <v>1184</v>
      </c>
      <c r="L2798" t="s">
        <v>1541</v>
      </c>
    </row>
    <row r="2799" spans="1:13" ht="15">
      <c r="A2799" s="4">
        <v>201403</v>
      </c>
      <c r="B2799" t="s">
        <v>1559</v>
      </c>
      <c r="C2799" s="5">
        <v>6497002</v>
      </c>
      <c r="D2799" s="2" t="s">
        <v>1571</v>
      </c>
      <c r="E2799" s="2" t="s">
        <v>15</v>
      </c>
      <c r="F2799" s="3">
        <v>468.58</v>
      </c>
      <c r="G2799" t="s">
        <v>47</v>
      </c>
      <c r="H2799" s="1" t="s">
        <v>46</v>
      </c>
      <c r="I2799" t="s">
        <v>1573</v>
      </c>
      <c r="J2799" t="s">
        <v>1561</v>
      </c>
      <c r="K2799" t="s">
        <v>1184</v>
      </c>
      <c r="L2799" t="s">
        <v>1541</v>
      </c>
      <c r="M2799">
        <v>901199</v>
      </c>
    </row>
    <row r="2800" spans="1:13" ht="15">
      <c r="A2800" s="4">
        <v>201403</v>
      </c>
      <c r="B2800" t="s">
        <v>1559</v>
      </c>
      <c r="C2800" s="5">
        <v>6497002</v>
      </c>
      <c r="D2800" s="2" t="s">
        <v>1571</v>
      </c>
      <c r="E2800" s="2" t="s">
        <v>15</v>
      </c>
      <c r="F2800" s="3">
        <v>714.7</v>
      </c>
      <c r="G2800" t="s">
        <v>47</v>
      </c>
      <c r="H2800" s="1" t="s">
        <v>46</v>
      </c>
      <c r="I2800" t="s">
        <v>1568</v>
      </c>
      <c r="J2800" t="s">
        <v>1561</v>
      </c>
      <c r="K2800" t="s">
        <v>1184</v>
      </c>
      <c r="L2800" t="s">
        <v>1541</v>
      </c>
      <c r="M2800">
        <v>901881</v>
      </c>
    </row>
    <row r="2801" spans="1:13" ht="15">
      <c r="A2801" s="4">
        <v>201403</v>
      </c>
      <c r="B2801" t="s">
        <v>1559</v>
      </c>
      <c r="C2801" s="5">
        <v>6497002</v>
      </c>
      <c r="D2801" s="2" t="s">
        <v>1571</v>
      </c>
      <c r="E2801" s="2" t="s">
        <v>15</v>
      </c>
      <c r="F2801" s="3">
        <v>963.27</v>
      </c>
      <c r="G2801" t="s">
        <v>47</v>
      </c>
      <c r="H2801" s="1" t="s">
        <v>46</v>
      </c>
      <c r="I2801" t="s">
        <v>1569</v>
      </c>
      <c r="J2801" t="s">
        <v>1561</v>
      </c>
      <c r="K2801" t="s">
        <v>1184</v>
      </c>
      <c r="L2801" t="s">
        <v>1541</v>
      </c>
      <c r="M2801">
        <v>901927</v>
      </c>
    </row>
    <row r="2802" spans="1:13" ht="15">
      <c r="A2802" s="4">
        <v>201404</v>
      </c>
      <c r="B2802" t="s">
        <v>1559</v>
      </c>
      <c r="C2802" s="5">
        <v>6497002</v>
      </c>
      <c r="D2802" s="2" t="s">
        <v>1571</v>
      </c>
      <c r="E2802" s="2" t="s">
        <v>15</v>
      </c>
      <c r="F2802" s="3">
        <v>-9.63</v>
      </c>
      <c r="G2802" t="s">
        <v>47</v>
      </c>
      <c r="H2802" s="1" t="s">
        <v>46</v>
      </c>
      <c r="I2802" t="s">
        <v>1569</v>
      </c>
      <c r="J2802" t="s">
        <v>1561</v>
      </c>
      <c r="K2802" t="s">
        <v>1184</v>
      </c>
      <c r="L2802" t="s">
        <v>1541</v>
      </c>
      <c r="M2802">
        <v>901927</v>
      </c>
    </row>
    <row r="2803" spans="1:12" ht="15">
      <c r="A2803" s="4">
        <v>201403</v>
      </c>
      <c r="B2803" t="s">
        <v>1559</v>
      </c>
      <c r="C2803" s="5">
        <v>6499823</v>
      </c>
      <c r="D2803" s="2" t="s">
        <v>1575</v>
      </c>
      <c r="E2803" s="2" t="s">
        <v>15</v>
      </c>
      <c r="F2803" s="3">
        <v>5.5</v>
      </c>
      <c r="H2803" s="1" t="s">
        <v>14</v>
      </c>
      <c r="I2803" t="s">
        <v>1574</v>
      </c>
      <c r="J2803" t="s">
        <v>1561</v>
      </c>
      <c r="K2803" t="s">
        <v>1184</v>
      </c>
      <c r="L2803" t="s">
        <v>1541</v>
      </c>
    </row>
    <row r="2804" spans="1:12" ht="15">
      <c r="A2804" s="4">
        <v>201403</v>
      </c>
      <c r="B2804" t="s">
        <v>1559</v>
      </c>
      <c r="C2804" s="5">
        <v>6499823</v>
      </c>
      <c r="D2804" s="2" t="s">
        <v>1575</v>
      </c>
      <c r="E2804" s="2" t="s">
        <v>15</v>
      </c>
      <c r="F2804" s="3">
        <v>67.06</v>
      </c>
      <c r="H2804" s="1" t="s">
        <v>14</v>
      </c>
      <c r="I2804" t="s">
        <v>607</v>
      </c>
      <c r="J2804" t="s">
        <v>1561</v>
      </c>
      <c r="K2804" t="s">
        <v>1184</v>
      </c>
      <c r="L2804" t="s">
        <v>1541</v>
      </c>
    </row>
    <row r="2805" spans="1:12" ht="15">
      <c r="A2805" s="4">
        <v>201403</v>
      </c>
      <c r="B2805" t="s">
        <v>1559</v>
      </c>
      <c r="C2805" s="5">
        <v>6499823</v>
      </c>
      <c r="D2805" s="2" t="s">
        <v>1575</v>
      </c>
      <c r="E2805" s="2" t="s">
        <v>15</v>
      </c>
      <c r="F2805" s="3">
        <v>119.42</v>
      </c>
      <c r="H2805" s="1" t="s">
        <v>14</v>
      </c>
      <c r="I2805" t="s">
        <v>1576</v>
      </c>
      <c r="J2805" t="s">
        <v>1561</v>
      </c>
      <c r="K2805" t="s">
        <v>1184</v>
      </c>
      <c r="L2805" t="s">
        <v>1541</v>
      </c>
    </row>
    <row r="2806" spans="1:12" ht="15">
      <c r="A2806" s="4">
        <v>201403</v>
      </c>
      <c r="B2806" t="s">
        <v>1559</v>
      </c>
      <c r="C2806" s="5">
        <v>6499823</v>
      </c>
      <c r="D2806" s="2" t="s">
        <v>1575</v>
      </c>
      <c r="E2806" s="2" t="s">
        <v>15</v>
      </c>
      <c r="F2806" s="3">
        <v>472</v>
      </c>
      <c r="H2806" s="1" t="s">
        <v>14</v>
      </c>
      <c r="I2806" t="s">
        <v>1577</v>
      </c>
      <c r="J2806" t="s">
        <v>1561</v>
      </c>
      <c r="K2806" t="s">
        <v>1184</v>
      </c>
      <c r="L2806" t="s">
        <v>1541</v>
      </c>
    </row>
    <row r="2807" spans="1:12" ht="15">
      <c r="A2807" s="4">
        <v>201403</v>
      </c>
      <c r="B2807" t="s">
        <v>1559</v>
      </c>
      <c r="C2807" s="5">
        <v>6499823</v>
      </c>
      <c r="D2807" s="2" t="s">
        <v>1575</v>
      </c>
      <c r="E2807" s="2" t="s">
        <v>15</v>
      </c>
      <c r="F2807" s="3">
        <v>586</v>
      </c>
      <c r="H2807" s="1" t="s">
        <v>14</v>
      </c>
      <c r="I2807" t="s">
        <v>262</v>
      </c>
      <c r="J2807" t="s">
        <v>1561</v>
      </c>
      <c r="K2807" t="s">
        <v>1184</v>
      </c>
      <c r="L2807" t="s">
        <v>1541</v>
      </c>
    </row>
    <row r="2808" spans="1:12" ht="15">
      <c r="A2808" s="4">
        <v>201403</v>
      </c>
      <c r="B2808" t="s">
        <v>1559</v>
      </c>
      <c r="C2808" s="5">
        <v>6499823</v>
      </c>
      <c r="D2808" s="2" t="s">
        <v>1575</v>
      </c>
      <c r="E2808" s="2" t="s">
        <v>15</v>
      </c>
      <c r="F2808" s="3">
        <v>720</v>
      </c>
      <c r="H2808" s="1" t="s">
        <v>14</v>
      </c>
      <c r="I2808" t="s">
        <v>1578</v>
      </c>
      <c r="J2808" t="s">
        <v>1561</v>
      </c>
      <c r="K2808" t="s">
        <v>1184</v>
      </c>
      <c r="L2808" t="s">
        <v>1541</v>
      </c>
    </row>
    <row r="2809" spans="1:12" ht="15">
      <c r="A2809" s="4">
        <v>201403</v>
      </c>
      <c r="B2809" t="s">
        <v>1559</v>
      </c>
      <c r="C2809" s="5">
        <v>6499823</v>
      </c>
      <c r="D2809" s="2" t="s">
        <v>1575</v>
      </c>
      <c r="E2809" s="2" t="s">
        <v>15</v>
      </c>
      <c r="F2809" s="3">
        <v>2188</v>
      </c>
      <c r="H2809" s="1" t="s">
        <v>14</v>
      </c>
      <c r="I2809" t="s">
        <v>1579</v>
      </c>
      <c r="J2809" t="s">
        <v>1561</v>
      </c>
      <c r="K2809" t="s">
        <v>1184</v>
      </c>
      <c r="L2809" t="s">
        <v>1541</v>
      </c>
    </row>
    <row r="2810" spans="1:13" ht="15">
      <c r="A2810" s="4">
        <v>201403</v>
      </c>
      <c r="B2810" t="s">
        <v>1559</v>
      </c>
      <c r="C2810" s="5">
        <v>6499823</v>
      </c>
      <c r="D2810" s="2" t="s">
        <v>1575</v>
      </c>
      <c r="E2810" s="2" t="s">
        <v>15</v>
      </c>
      <c r="F2810" s="3">
        <v>363.12</v>
      </c>
      <c r="G2810" t="s">
        <v>47</v>
      </c>
      <c r="H2810" s="1" t="s">
        <v>46</v>
      </c>
      <c r="I2810" t="s">
        <v>1567</v>
      </c>
      <c r="J2810" t="s">
        <v>1561</v>
      </c>
      <c r="K2810" t="s">
        <v>1184</v>
      </c>
      <c r="L2810" t="s">
        <v>1541</v>
      </c>
      <c r="M2810">
        <v>900623</v>
      </c>
    </row>
    <row r="2811" spans="1:13" ht="15">
      <c r="A2811" s="4">
        <v>201403</v>
      </c>
      <c r="B2811" t="s">
        <v>1559</v>
      </c>
      <c r="C2811" s="5">
        <v>6499823</v>
      </c>
      <c r="D2811" s="2" t="s">
        <v>1575</v>
      </c>
      <c r="E2811" s="2" t="s">
        <v>15</v>
      </c>
      <c r="F2811" s="3">
        <v>559.25</v>
      </c>
      <c r="G2811" t="s">
        <v>47</v>
      </c>
      <c r="H2811" s="1" t="s">
        <v>46</v>
      </c>
      <c r="I2811" t="s">
        <v>1573</v>
      </c>
      <c r="J2811" t="s">
        <v>1561</v>
      </c>
      <c r="K2811" t="s">
        <v>1184</v>
      </c>
      <c r="L2811" t="s">
        <v>1541</v>
      </c>
      <c r="M2811">
        <v>901199</v>
      </c>
    </row>
    <row r="2812" spans="1:13" ht="15">
      <c r="A2812" s="4">
        <v>201403</v>
      </c>
      <c r="B2812" t="s">
        <v>1559</v>
      </c>
      <c r="C2812" s="5">
        <v>6499823</v>
      </c>
      <c r="D2812" s="2" t="s">
        <v>1575</v>
      </c>
      <c r="E2812" s="2" t="s">
        <v>15</v>
      </c>
      <c r="F2812" s="3">
        <v>702.87</v>
      </c>
      <c r="G2812" t="s">
        <v>47</v>
      </c>
      <c r="H2812" s="1" t="s">
        <v>46</v>
      </c>
      <c r="I2812" t="s">
        <v>1569</v>
      </c>
      <c r="J2812" t="s">
        <v>1561</v>
      </c>
      <c r="K2812" t="s">
        <v>1184</v>
      </c>
      <c r="L2812" t="s">
        <v>1541</v>
      </c>
      <c r="M2812">
        <v>901927</v>
      </c>
    </row>
    <row r="2813" spans="1:13" ht="15">
      <c r="A2813" s="4">
        <v>201403</v>
      </c>
      <c r="B2813" t="s">
        <v>1559</v>
      </c>
      <c r="C2813" s="5">
        <v>6499823</v>
      </c>
      <c r="D2813" s="2" t="s">
        <v>1575</v>
      </c>
      <c r="E2813" s="2" t="s">
        <v>15</v>
      </c>
      <c r="F2813" s="3">
        <v>1657.58</v>
      </c>
      <c r="G2813" t="s">
        <v>47</v>
      </c>
      <c r="H2813" s="1" t="s">
        <v>46</v>
      </c>
      <c r="I2813" t="s">
        <v>1568</v>
      </c>
      <c r="J2813" t="s">
        <v>1561</v>
      </c>
      <c r="K2813" t="s">
        <v>1184</v>
      </c>
      <c r="L2813" t="s">
        <v>1541</v>
      </c>
      <c r="M2813">
        <v>901881</v>
      </c>
    </row>
    <row r="2814" spans="1:13" ht="15">
      <c r="A2814" s="4">
        <v>201404</v>
      </c>
      <c r="B2814" t="s">
        <v>1559</v>
      </c>
      <c r="C2814" s="5">
        <v>6499823</v>
      </c>
      <c r="D2814" s="2" t="s">
        <v>1575</v>
      </c>
      <c r="E2814" s="2" t="s">
        <v>15</v>
      </c>
      <c r="F2814" s="3">
        <v>-7.03</v>
      </c>
      <c r="G2814" t="s">
        <v>47</v>
      </c>
      <c r="H2814" s="1" t="s">
        <v>46</v>
      </c>
      <c r="I2814" t="s">
        <v>1569</v>
      </c>
      <c r="J2814" t="s">
        <v>1561</v>
      </c>
      <c r="K2814" t="s">
        <v>1184</v>
      </c>
      <c r="L2814" t="s">
        <v>1541</v>
      </c>
      <c r="M2814">
        <v>901927</v>
      </c>
    </row>
    <row r="2815" spans="1:13" ht="15">
      <c r="A2815" s="4">
        <v>201403</v>
      </c>
      <c r="B2815" t="s">
        <v>1559</v>
      </c>
      <c r="C2815" s="5">
        <v>6508203</v>
      </c>
      <c r="D2815" s="2" t="s">
        <v>1580</v>
      </c>
      <c r="E2815" s="2" t="s">
        <v>15</v>
      </c>
      <c r="F2815" s="3">
        <v>1871.31</v>
      </c>
      <c r="G2815" t="s">
        <v>47</v>
      </c>
      <c r="H2815" s="1" t="s">
        <v>46</v>
      </c>
      <c r="I2815" t="s">
        <v>1568</v>
      </c>
      <c r="J2815" t="s">
        <v>1561</v>
      </c>
      <c r="K2815" t="s">
        <v>1184</v>
      </c>
      <c r="L2815" t="s">
        <v>1541</v>
      </c>
      <c r="M2815">
        <v>901881</v>
      </c>
    </row>
    <row r="2816" spans="1:13" ht="15">
      <c r="A2816" s="4">
        <v>201403</v>
      </c>
      <c r="B2816" t="s">
        <v>1559</v>
      </c>
      <c r="C2816" s="5">
        <v>6508203</v>
      </c>
      <c r="D2816" s="2" t="s">
        <v>1580</v>
      </c>
      <c r="E2816" s="2" t="s">
        <v>15</v>
      </c>
      <c r="F2816" s="3">
        <v>2553.15</v>
      </c>
      <c r="G2816" t="s">
        <v>47</v>
      </c>
      <c r="H2816" s="1" t="s">
        <v>46</v>
      </c>
      <c r="I2816" t="s">
        <v>1573</v>
      </c>
      <c r="J2816" t="s">
        <v>1561</v>
      </c>
      <c r="K2816" t="s">
        <v>1184</v>
      </c>
      <c r="L2816" t="s">
        <v>1541</v>
      </c>
      <c r="M2816">
        <v>901199</v>
      </c>
    </row>
    <row r="2817" spans="1:12" ht="15">
      <c r="A2817" s="4">
        <v>201404</v>
      </c>
      <c r="B2817" t="s">
        <v>1559</v>
      </c>
      <c r="C2817" s="5">
        <v>6534214</v>
      </c>
      <c r="D2817" s="2" t="s">
        <v>1581</v>
      </c>
      <c r="E2817" s="2" t="s">
        <v>15</v>
      </c>
      <c r="F2817" s="3">
        <v>3.11</v>
      </c>
      <c r="H2817" s="1" t="s">
        <v>14</v>
      </c>
      <c r="I2817" t="s">
        <v>23</v>
      </c>
      <c r="J2817" t="s">
        <v>1561</v>
      </c>
      <c r="K2817" t="s">
        <v>1184</v>
      </c>
      <c r="L2817" t="s">
        <v>1541</v>
      </c>
    </row>
    <row r="2818" spans="1:12" ht="15">
      <c r="A2818" s="4">
        <v>201404</v>
      </c>
      <c r="B2818" t="s">
        <v>1559</v>
      </c>
      <c r="C2818" s="5">
        <v>6534214</v>
      </c>
      <c r="D2818" s="2" t="s">
        <v>1581</v>
      </c>
      <c r="E2818" s="2" t="s">
        <v>15</v>
      </c>
      <c r="F2818" s="3">
        <v>3.36</v>
      </c>
      <c r="H2818" s="1" t="s">
        <v>14</v>
      </c>
      <c r="I2818" t="s">
        <v>18</v>
      </c>
      <c r="J2818" t="s">
        <v>1561</v>
      </c>
      <c r="K2818" t="s">
        <v>1184</v>
      </c>
      <c r="L2818" t="s">
        <v>1541</v>
      </c>
    </row>
    <row r="2819" spans="1:12" ht="15">
      <c r="A2819" s="4">
        <v>201404</v>
      </c>
      <c r="B2819" t="s">
        <v>1559</v>
      </c>
      <c r="C2819" s="5">
        <v>6534214</v>
      </c>
      <c r="D2819" s="2" t="s">
        <v>1581</v>
      </c>
      <c r="E2819" s="2" t="s">
        <v>15</v>
      </c>
      <c r="F2819" s="3">
        <v>4.25</v>
      </c>
      <c r="H2819" s="1" t="s">
        <v>14</v>
      </c>
      <c r="I2819" t="s">
        <v>1582</v>
      </c>
      <c r="J2819" t="s">
        <v>1561</v>
      </c>
      <c r="K2819" t="s">
        <v>1184</v>
      </c>
      <c r="L2819" t="s">
        <v>1541</v>
      </c>
    </row>
    <row r="2820" spans="1:12" ht="15">
      <c r="A2820" s="4">
        <v>201404</v>
      </c>
      <c r="B2820" t="s">
        <v>1559</v>
      </c>
      <c r="C2820" s="5">
        <v>6534214</v>
      </c>
      <c r="D2820" s="2" t="s">
        <v>1581</v>
      </c>
      <c r="E2820" s="2" t="s">
        <v>15</v>
      </c>
      <c r="F2820" s="3">
        <v>4.95</v>
      </c>
      <c r="H2820" s="1" t="s">
        <v>14</v>
      </c>
      <c r="I2820" t="s">
        <v>382</v>
      </c>
      <c r="J2820" t="s">
        <v>1561</v>
      </c>
      <c r="K2820" t="s">
        <v>1184</v>
      </c>
      <c r="L2820" t="s">
        <v>1541</v>
      </c>
    </row>
    <row r="2821" spans="1:12" ht="15">
      <c r="A2821" s="4">
        <v>201404</v>
      </c>
      <c r="B2821" t="s">
        <v>1559</v>
      </c>
      <c r="C2821" s="5">
        <v>6534214</v>
      </c>
      <c r="D2821" s="2" t="s">
        <v>1581</v>
      </c>
      <c r="E2821" s="2" t="s">
        <v>15</v>
      </c>
      <c r="F2821" s="3">
        <v>4.95</v>
      </c>
      <c r="H2821" s="1" t="s">
        <v>14</v>
      </c>
      <c r="I2821" t="s">
        <v>651</v>
      </c>
      <c r="J2821" t="s">
        <v>1561</v>
      </c>
      <c r="K2821" t="s">
        <v>1184</v>
      </c>
      <c r="L2821" t="s">
        <v>1541</v>
      </c>
    </row>
    <row r="2822" spans="1:12" ht="15">
      <c r="A2822" s="4">
        <v>201404</v>
      </c>
      <c r="B2822" t="s">
        <v>1559</v>
      </c>
      <c r="C2822" s="5">
        <v>6534214</v>
      </c>
      <c r="D2822" s="2" t="s">
        <v>1581</v>
      </c>
      <c r="E2822" s="2" t="s">
        <v>15</v>
      </c>
      <c r="F2822" s="3">
        <v>6.06</v>
      </c>
      <c r="H2822" s="1" t="s">
        <v>14</v>
      </c>
      <c r="I2822" t="s">
        <v>1583</v>
      </c>
      <c r="J2822" t="s">
        <v>1561</v>
      </c>
      <c r="K2822" t="s">
        <v>1184</v>
      </c>
      <c r="L2822" t="s">
        <v>1541</v>
      </c>
    </row>
    <row r="2823" spans="1:12" ht="15">
      <c r="A2823" s="4">
        <v>201404</v>
      </c>
      <c r="B2823" t="s">
        <v>1559</v>
      </c>
      <c r="C2823" s="5">
        <v>6534214</v>
      </c>
      <c r="D2823" s="2" t="s">
        <v>1581</v>
      </c>
      <c r="E2823" s="2" t="s">
        <v>15</v>
      </c>
      <c r="F2823" s="3">
        <v>6.52</v>
      </c>
      <c r="H2823" s="1" t="s">
        <v>14</v>
      </c>
      <c r="I2823" t="s">
        <v>1584</v>
      </c>
      <c r="J2823" t="s">
        <v>1561</v>
      </c>
      <c r="K2823" t="s">
        <v>1184</v>
      </c>
      <c r="L2823" t="s">
        <v>1541</v>
      </c>
    </row>
    <row r="2824" spans="1:12" ht="15">
      <c r="A2824" s="4">
        <v>201404</v>
      </c>
      <c r="B2824" t="s">
        <v>1559</v>
      </c>
      <c r="C2824" s="5">
        <v>6534214</v>
      </c>
      <c r="D2824" s="2" t="s">
        <v>1581</v>
      </c>
      <c r="E2824" s="2" t="s">
        <v>15</v>
      </c>
      <c r="F2824" s="3">
        <v>6.52</v>
      </c>
      <c r="H2824" s="1" t="s">
        <v>14</v>
      </c>
      <c r="I2824" t="s">
        <v>1585</v>
      </c>
      <c r="J2824" t="s">
        <v>1561</v>
      </c>
      <c r="K2824" t="s">
        <v>1184</v>
      </c>
      <c r="L2824" t="s">
        <v>1541</v>
      </c>
    </row>
    <row r="2825" spans="1:12" ht="15">
      <c r="A2825" s="4">
        <v>201404</v>
      </c>
      <c r="B2825" t="s">
        <v>1559</v>
      </c>
      <c r="C2825" s="5">
        <v>6534214</v>
      </c>
      <c r="D2825" s="2" t="s">
        <v>1581</v>
      </c>
      <c r="E2825" s="2" t="s">
        <v>15</v>
      </c>
      <c r="F2825" s="3">
        <v>7.59</v>
      </c>
      <c r="H2825" s="1" t="s">
        <v>14</v>
      </c>
      <c r="I2825" t="s">
        <v>605</v>
      </c>
      <c r="J2825" t="s">
        <v>1561</v>
      </c>
      <c r="K2825" t="s">
        <v>1184</v>
      </c>
      <c r="L2825" t="s">
        <v>1541</v>
      </c>
    </row>
    <row r="2826" spans="1:12" ht="15">
      <c r="A2826" s="4">
        <v>201404</v>
      </c>
      <c r="B2826" t="s">
        <v>1559</v>
      </c>
      <c r="C2826" s="5">
        <v>6534214</v>
      </c>
      <c r="D2826" s="2" t="s">
        <v>1581</v>
      </c>
      <c r="E2826" s="2" t="s">
        <v>15</v>
      </c>
      <c r="F2826" s="3">
        <v>7.75</v>
      </c>
      <c r="H2826" s="1" t="s">
        <v>14</v>
      </c>
      <c r="I2826" t="s">
        <v>36</v>
      </c>
      <c r="J2826" t="s">
        <v>1561</v>
      </c>
      <c r="K2826" t="s">
        <v>1184</v>
      </c>
      <c r="L2826" t="s">
        <v>1541</v>
      </c>
    </row>
    <row r="2827" spans="1:12" ht="15">
      <c r="A2827" s="4">
        <v>201404</v>
      </c>
      <c r="B2827" t="s">
        <v>1559</v>
      </c>
      <c r="C2827" s="5">
        <v>6534214</v>
      </c>
      <c r="D2827" s="2" t="s">
        <v>1581</v>
      </c>
      <c r="E2827" s="2" t="s">
        <v>15</v>
      </c>
      <c r="F2827" s="3">
        <v>8.22</v>
      </c>
      <c r="H2827" s="1" t="s">
        <v>14</v>
      </c>
      <c r="I2827" t="s">
        <v>477</v>
      </c>
      <c r="J2827" t="s">
        <v>1561</v>
      </c>
      <c r="K2827" t="s">
        <v>1184</v>
      </c>
      <c r="L2827" t="s">
        <v>1541</v>
      </c>
    </row>
    <row r="2828" spans="1:12" ht="15">
      <c r="A2828" s="4">
        <v>201404</v>
      </c>
      <c r="B2828" t="s">
        <v>1559</v>
      </c>
      <c r="C2828" s="5">
        <v>6534214</v>
      </c>
      <c r="D2828" s="2" t="s">
        <v>1581</v>
      </c>
      <c r="E2828" s="2" t="s">
        <v>15</v>
      </c>
      <c r="F2828" s="3">
        <v>12</v>
      </c>
      <c r="H2828" s="1" t="s">
        <v>14</v>
      </c>
      <c r="I2828" t="s">
        <v>86</v>
      </c>
      <c r="J2828" t="s">
        <v>1561</v>
      </c>
      <c r="K2828" t="s">
        <v>1184</v>
      </c>
      <c r="L2828" t="s">
        <v>1541</v>
      </c>
    </row>
    <row r="2829" spans="1:12" ht="15">
      <c r="A2829" s="4">
        <v>201404</v>
      </c>
      <c r="B2829" t="s">
        <v>1559</v>
      </c>
      <c r="C2829" s="5">
        <v>6534214</v>
      </c>
      <c r="D2829" s="2" t="s">
        <v>1581</v>
      </c>
      <c r="E2829" s="2" t="s">
        <v>15</v>
      </c>
      <c r="F2829" s="3">
        <v>16.56</v>
      </c>
      <c r="H2829" s="1" t="s">
        <v>14</v>
      </c>
      <c r="I2829" t="s">
        <v>960</v>
      </c>
      <c r="J2829" t="s">
        <v>1561</v>
      </c>
      <c r="K2829" t="s">
        <v>1184</v>
      </c>
      <c r="L2829" t="s">
        <v>1541</v>
      </c>
    </row>
    <row r="2830" spans="1:12" ht="15">
      <c r="A2830" s="4">
        <v>201404</v>
      </c>
      <c r="B2830" t="s">
        <v>1559</v>
      </c>
      <c r="C2830" s="5">
        <v>6534214</v>
      </c>
      <c r="D2830" s="2" t="s">
        <v>1581</v>
      </c>
      <c r="E2830" s="2" t="s">
        <v>15</v>
      </c>
      <c r="F2830" s="3">
        <v>49.59</v>
      </c>
      <c r="H2830" s="1" t="s">
        <v>14</v>
      </c>
      <c r="I2830" t="s">
        <v>1048</v>
      </c>
      <c r="J2830" t="s">
        <v>1561</v>
      </c>
      <c r="K2830" t="s">
        <v>1184</v>
      </c>
      <c r="L2830" t="s">
        <v>1541</v>
      </c>
    </row>
    <row r="2831" spans="1:12" ht="15">
      <c r="A2831" s="4">
        <v>201404</v>
      </c>
      <c r="B2831" t="s">
        <v>1559</v>
      </c>
      <c r="C2831" s="5">
        <v>6534214</v>
      </c>
      <c r="D2831" s="2" t="s">
        <v>1581</v>
      </c>
      <c r="E2831" s="2" t="s">
        <v>15</v>
      </c>
      <c r="F2831" s="3">
        <v>67.61</v>
      </c>
      <c r="H2831" s="1" t="s">
        <v>14</v>
      </c>
      <c r="I2831" t="s">
        <v>607</v>
      </c>
      <c r="J2831" t="s">
        <v>1561</v>
      </c>
      <c r="K2831" t="s">
        <v>1184</v>
      </c>
      <c r="L2831" t="s">
        <v>1541</v>
      </c>
    </row>
    <row r="2832" spans="1:12" ht="15">
      <c r="A2832" s="4">
        <v>201404</v>
      </c>
      <c r="B2832" t="s">
        <v>1559</v>
      </c>
      <c r="C2832" s="5">
        <v>6534214</v>
      </c>
      <c r="D2832" s="2" t="s">
        <v>1581</v>
      </c>
      <c r="E2832" s="2" t="s">
        <v>15</v>
      </c>
      <c r="F2832" s="3">
        <v>256.6</v>
      </c>
      <c r="H2832" s="1" t="s">
        <v>14</v>
      </c>
      <c r="I2832" t="s">
        <v>1586</v>
      </c>
      <c r="J2832" t="s">
        <v>1561</v>
      </c>
      <c r="K2832" t="s">
        <v>1184</v>
      </c>
      <c r="L2832" t="s">
        <v>1541</v>
      </c>
    </row>
    <row r="2833" spans="1:12" ht="15">
      <c r="A2833" s="4">
        <v>201404</v>
      </c>
      <c r="B2833" t="s">
        <v>1559</v>
      </c>
      <c r="C2833" s="5">
        <v>6534214</v>
      </c>
      <c r="D2833" s="2" t="s">
        <v>1581</v>
      </c>
      <c r="E2833" s="2" t="s">
        <v>15</v>
      </c>
      <c r="F2833" s="3">
        <v>270</v>
      </c>
      <c r="H2833" s="1" t="s">
        <v>14</v>
      </c>
      <c r="I2833" t="s">
        <v>80</v>
      </c>
      <c r="J2833" t="s">
        <v>1561</v>
      </c>
      <c r="K2833" t="s">
        <v>1184</v>
      </c>
      <c r="L2833" t="s">
        <v>1541</v>
      </c>
    </row>
    <row r="2834" spans="1:12" ht="15">
      <c r="A2834" s="4">
        <v>201405</v>
      </c>
      <c r="B2834" t="s">
        <v>1559</v>
      </c>
      <c r="C2834" s="5">
        <v>6534214</v>
      </c>
      <c r="D2834" s="2" t="s">
        <v>1581</v>
      </c>
      <c r="E2834" s="2" t="s">
        <v>15</v>
      </c>
      <c r="F2834" s="3">
        <v>7.75</v>
      </c>
      <c r="H2834" s="1" t="s">
        <v>14</v>
      </c>
      <c r="I2834" t="s">
        <v>36</v>
      </c>
      <c r="J2834" t="s">
        <v>1561</v>
      </c>
      <c r="K2834" t="s">
        <v>1184</v>
      </c>
      <c r="L2834" t="s">
        <v>1541</v>
      </c>
    </row>
    <row r="2835" spans="1:12" ht="15">
      <c r="A2835" s="4">
        <v>201405</v>
      </c>
      <c r="B2835" t="s">
        <v>1559</v>
      </c>
      <c r="C2835" s="5">
        <v>6534214</v>
      </c>
      <c r="D2835" s="2" t="s">
        <v>1581</v>
      </c>
      <c r="E2835" s="2" t="s">
        <v>15</v>
      </c>
      <c r="F2835" s="3">
        <v>20.75</v>
      </c>
      <c r="H2835" s="1" t="s">
        <v>14</v>
      </c>
      <c r="I2835" t="s">
        <v>319</v>
      </c>
      <c r="J2835" t="s">
        <v>1561</v>
      </c>
      <c r="K2835" t="s">
        <v>1184</v>
      </c>
      <c r="L2835" t="s">
        <v>1541</v>
      </c>
    </row>
    <row r="2836" spans="1:12" ht="15">
      <c r="A2836" s="4">
        <v>201403</v>
      </c>
      <c r="B2836" t="s">
        <v>1559</v>
      </c>
      <c r="C2836" s="5">
        <v>6534214</v>
      </c>
      <c r="D2836" s="2" t="s">
        <v>1581</v>
      </c>
      <c r="E2836" s="2" t="s">
        <v>15</v>
      </c>
      <c r="F2836" s="3">
        <v>26875</v>
      </c>
      <c r="H2836" s="1" t="s">
        <v>44</v>
      </c>
      <c r="I2836" t="s">
        <v>1587</v>
      </c>
      <c r="J2836" t="s">
        <v>1561</v>
      </c>
      <c r="K2836" t="s">
        <v>1184</v>
      </c>
      <c r="L2836" t="s">
        <v>1541</v>
      </c>
    </row>
    <row r="2837" spans="1:12" ht="15">
      <c r="A2837" s="4">
        <v>201404</v>
      </c>
      <c r="B2837" t="s">
        <v>1559</v>
      </c>
      <c r="C2837" s="5">
        <v>6534214</v>
      </c>
      <c r="D2837" s="2" t="s">
        <v>1581</v>
      </c>
      <c r="E2837" s="2" t="s">
        <v>15</v>
      </c>
      <c r="F2837" s="3">
        <v>-26875</v>
      </c>
      <c r="H2837" s="1" t="s">
        <v>44</v>
      </c>
      <c r="I2837" t="s">
        <v>1587</v>
      </c>
      <c r="J2837" t="s">
        <v>1561</v>
      </c>
      <c r="K2837" t="s">
        <v>1184</v>
      </c>
      <c r="L2837" t="s">
        <v>1541</v>
      </c>
    </row>
    <row r="2838" spans="1:13" ht="15">
      <c r="A2838" s="4">
        <v>201404</v>
      </c>
      <c r="B2838" t="s">
        <v>1559</v>
      </c>
      <c r="C2838" s="5">
        <v>6534214</v>
      </c>
      <c r="D2838" s="2" t="s">
        <v>1581</v>
      </c>
      <c r="E2838" s="2" t="s">
        <v>15</v>
      </c>
      <c r="F2838" s="3">
        <v>26762</v>
      </c>
      <c r="G2838" t="s">
        <v>47</v>
      </c>
      <c r="H2838" s="1" t="s">
        <v>44</v>
      </c>
      <c r="I2838" t="s">
        <v>1588</v>
      </c>
      <c r="J2838" t="s">
        <v>1561</v>
      </c>
      <c r="K2838" t="s">
        <v>1184</v>
      </c>
      <c r="L2838" t="s">
        <v>1541</v>
      </c>
      <c r="M2838">
        <v>902805</v>
      </c>
    </row>
    <row r="2839" spans="1:13" ht="15">
      <c r="A2839" s="4">
        <v>201404</v>
      </c>
      <c r="B2839" t="s">
        <v>1559</v>
      </c>
      <c r="C2839" s="5">
        <v>6534214</v>
      </c>
      <c r="D2839" s="2" t="s">
        <v>1581</v>
      </c>
      <c r="E2839" s="2" t="s">
        <v>15</v>
      </c>
      <c r="F2839" s="3">
        <v>27777.09</v>
      </c>
      <c r="G2839" t="s">
        <v>47</v>
      </c>
      <c r="H2839" s="1" t="s">
        <v>44</v>
      </c>
      <c r="I2839" t="s">
        <v>1589</v>
      </c>
      <c r="J2839" t="s">
        <v>1561</v>
      </c>
      <c r="K2839" t="s">
        <v>1184</v>
      </c>
      <c r="L2839" t="s">
        <v>1541</v>
      </c>
      <c r="M2839">
        <v>903420</v>
      </c>
    </row>
    <row r="2840" spans="1:13" ht="15">
      <c r="A2840" s="4">
        <v>201404</v>
      </c>
      <c r="B2840" t="s">
        <v>1559</v>
      </c>
      <c r="C2840" s="5">
        <v>6534214</v>
      </c>
      <c r="D2840" s="2" t="s">
        <v>1581</v>
      </c>
      <c r="E2840" s="2" t="s">
        <v>15</v>
      </c>
      <c r="F2840" s="3">
        <v>27781.62</v>
      </c>
      <c r="G2840" t="s">
        <v>47</v>
      </c>
      <c r="H2840" s="1" t="s">
        <v>44</v>
      </c>
      <c r="I2840" t="s">
        <v>1590</v>
      </c>
      <c r="J2840" t="s">
        <v>1561</v>
      </c>
      <c r="K2840" t="s">
        <v>1184</v>
      </c>
      <c r="L2840" t="s">
        <v>1541</v>
      </c>
      <c r="M2840">
        <v>904370</v>
      </c>
    </row>
    <row r="2841" spans="1:13" ht="15">
      <c r="A2841" s="4">
        <v>201404</v>
      </c>
      <c r="B2841" t="s">
        <v>1559</v>
      </c>
      <c r="C2841" s="5">
        <v>6534214</v>
      </c>
      <c r="D2841" s="2" t="s">
        <v>1581</v>
      </c>
      <c r="E2841" s="2" t="s">
        <v>15</v>
      </c>
      <c r="F2841" s="3">
        <v>28085.56</v>
      </c>
      <c r="G2841" t="s">
        <v>47</v>
      </c>
      <c r="H2841" s="1" t="s">
        <v>44</v>
      </c>
      <c r="I2841" t="s">
        <v>1591</v>
      </c>
      <c r="J2841" t="s">
        <v>1561</v>
      </c>
      <c r="K2841" t="s">
        <v>1184</v>
      </c>
      <c r="L2841" t="s">
        <v>1541</v>
      </c>
      <c r="M2841">
        <v>904365</v>
      </c>
    </row>
    <row r="2842" spans="1:13" ht="15">
      <c r="A2842" s="4">
        <v>201404</v>
      </c>
      <c r="B2842" t="s">
        <v>1559</v>
      </c>
      <c r="C2842" s="5">
        <v>6534214</v>
      </c>
      <c r="D2842" s="2" t="s">
        <v>1581</v>
      </c>
      <c r="E2842" s="2" t="s">
        <v>15</v>
      </c>
      <c r="F2842" s="3">
        <v>29628.5</v>
      </c>
      <c r="G2842" t="s">
        <v>47</v>
      </c>
      <c r="H2842" s="1" t="s">
        <v>44</v>
      </c>
      <c r="I2842" t="s">
        <v>1592</v>
      </c>
      <c r="J2842" t="s">
        <v>1561</v>
      </c>
      <c r="K2842" t="s">
        <v>1184</v>
      </c>
      <c r="L2842" t="s">
        <v>1541</v>
      </c>
      <c r="M2842">
        <v>902803</v>
      </c>
    </row>
    <row r="2843" spans="1:13" ht="15">
      <c r="A2843" s="4">
        <v>201404</v>
      </c>
      <c r="B2843" t="s">
        <v>1559</v>
      </c>
      <c r="C2843" s="5">
        <v>6534214</v>
      </c>
      <c r="D2843" s="2" t="s">
        <v>1581</v>
      </c>
      <c r="E2843" s="2" t="s">
        <v>15</v>
      </c>
      <c r="F2843" s="3">
        <v>121964.61</v>
      </c>
      <c r="G2843" t="s">
        <v>1593</v>
      </c>
      <c r="H2843" s="1" t="s">
        <v>44</v>
      </c>
      <c r="I2843" t="s">
        <v>1594</v>
      </c>
      <c r="J2843" t="s">
        <v>1561</v>
      </c>
      <c r="K2843" t="s">
        <v>1184</v>
      </c>
      <c r="L2843" t="s">
        <v>1541</v>
      </c>
      <c r="M2843">
        <v>901069</v>
      </c>
    </row>
    <row r="2844" spans="1:13" ht="15">
      <c r="A2844" s="4">
        <v>201405</v>
      </c>
      <c r="B2844" t="s">
        <v>1559</v>
      </c>
      <c r="C2844" s="5">
        <v>6534214</v>
      </c>
      <c r="D2844" s="2" t="s">
        <v>1581</v>
      </c>
      <c r="E2844" s="2" t="s">
        <v>15</v>
      </c>
      <c r="F2844" s="3">
        <v>427.48</v>
      </c>
      <c r="G2844" t="s">
        <v>47</v>
      </c>
      <c r="H2844" s="1" t="s">
        <v>44</v>
      </c>
      <c r="I2844" t="s">
        <v>1595</v>
      </c>
      <c r="J2844" t="s">
        <v>1561</v>
      </c>
      <c r="K2844" t="s">
        <v>1184</v>
      </c>
      <c r="L2844" t="s">
        <v>1541</v>
      </c>
      <c r="M2844">
        <v>905959</v>
      </c>
    </row>
    <row r="2845" spans="1:13" ht="15">
      <c r="A2845" s="4">
        <v>201405</v>
      </c>
      <c r="B2845" t="s">
        <v>1559</v>
      </c>
      <c r="C2845" s="5">
        <v>6534214</v>
      </c>
      <c r="D2845" s="2" t="s">
        <v>1581</v>
      </c>
      <c r="E2845" s="2" t="s">
        <v>15</v>
      </c>
      <c r="F2845" s="3">
        <v>5366.37</v>
      </c>
      <c r="G2845" t="s">
        <v>47</v>
      </c>
      <c r="H2845" s="1" t="s">
        <v>44</v>
      </c>
      <c r="I2845" t="s">
        <v>1596</v>
      </c>
      <c r="J2845" t="s">
        <v>1561</v>
      </c>
      <c r="K2845" t="s">
        <v>1184</v>
      </c>
      <c r="L2845" t="s">
        <v>1541</v>
      </c>
      <c r="M2845">
        <v>905674</v>
      </c>
    </row>
    <row r="2846" spans="1:13" ht="15">
      <c r="A2846" s="4">
        <v>201405</v>
      </c>
      <c r="B2846" t="s">
        <v>1559</v>
      </c>
      <c r="C2846" s="5">
        <v>6534214</v>
      </c>
      <c r="D2846" s="2" t="s">
        <v>1581</v>
      </c>
      <c r="E2846" s="2" t="s">
        <v>15</v>
      </c>
      <c r="F2846" s="3">
        <v>5472.15</v>
      </c>
      <c r="G2846" t="s">
        <v>47</v>
      </c>
      <c r="H2846" s="1" t="s">
        <v>44</v>
      </c>
      <c r="I2846" t="s">
        <v>1597</v>
      </c>
      <c r="J2846" t="s">
        <v>1561</v>
      </c>
      <c r="K2846" t="s">
        <v>1184</v>
      </c>
      <c r="L2846" t="s">
        <v>1541</v>
      </c>
      <c r="M2846">
        <v>905960</v>
      </c>
    </row>
    <row r="2847" spans="1:13" ht="15">
      <c r="A2847" s="4">
        <v>201405</v>
      </c>
      <c r="B2847" t="s">
        <v>1559</v>
      </c>
      <c r="C2847" s="5">
        <v>6534214</v>
      </c>
      <c r="D2847" s="2" t="s">
        <v>1581</v>
      </c>
      <c r="E2847" s="2" t="s">
        <v>15</v>
      </c>
      <c r="F2847" s="3">
        <v>11831.76</v>
      </c>
      <c r="G2847" t="s">
        <v>47</v>
      </c>
      <c r="H2847" s="1" t="s">
        <v>44</v>
      </c>
      <c r="I2847" t="s">
        <v>1598</v>
      </c>
      <c r="J2847" t="s">
        <v>1561</v>
      </c>
      <c r="K2847" t="s">
        <v>1184</v>
      </c>
      <c r="L2847" t="s">
        <v>1541</v>
      </c>
      <c r="M2847">
        <v>905367</v>
      </c>
    </row>
    <row r="2848" spans="1:13" ht="15">
      <c r="A2848" s="4">
        <v>201406</v>
      </c>
      <c r="B2848" t="s">
        <v>1559</v>
      </c>
      <c r="C2848" s="5">
        <v>6534214</v>
      </c>
      <c r="D2848" s="2" t="s">
        <v>1581</v>
      </c>
      <c r="E2848" s="2" t="s">
        <v>15</v>
      </c>
      <c r="F2848" s="3">
        <v>1125.27</v>
      </c>
      <c r="G2848" t="s">
        <v>47</v>
      </c>
      <c r="H2848" s="1" t="s">
        <v>44</v>
      </c>
      <c r="I2848" t="s">
        <v>1599</v>
      </c>
      <c r="J2848" t="s">
        <v>1561</v>
      </c>
      <c r="K2848" t="s">
        <v>1184</v>
      </c>
      <c r="L2848" t="s">
        <v>1541</v>
      </c>
      <c r="M2848">
        <v>907930</v>
      </c>
    </row>
    <row r="2849" spans="1:13" ht="15">
      <c r="A2849" s="4">
        <v>201406</v>
      </c>
      <c r="B2849" t="s">
        <v>1559</v>
      </c>
      <c r="C2849" s="5">
        <v>6534214</v>
      </c>
      <c r="D2849" s="2" t="s">
        <v>1581</v>
      </c>
      <c r="E2849" s="2" t="s">
        <v>15</v>
      </c>
      <c r="F2849" s="3">
        <v>3804.51</v>
      </c>
      <c r="G2849" t="s">
        <v>47</v>
      </c>
      <c r="H2849" s="1" t="s">
        <v>44</v>
      </c>
      <c r="I2849" t="s">
        <v>1600</v>
      </c>
      <c r="J2849" t="s">
        <v>1561</v>
      </c>
      <c r="K2849" t="s">
        <v>1184</v>
      </c>
      <c r="L2849" t="s">
        <v>1541</v>
      </c>
      <c r="M2849">
        <v>907074</v>
      </c>
    </row>
    <row r="2850" spans="1:13" ht="15">
      <c r="A2850" s="4">
        <v>201406</v>
      </c>
      <c r="B2850" t="s">
        <v>1559</v>
      </c>
      <c r="C2850" s="5">
        <v>6534214</v>
      </c>
      <c r="D2850" s="2" t="s">
        <v>1581</v>
      </c>
      <c r="E2850" s="2" t="s">
        <v>15</v>
      </c>
      <c r="F2850" s="3">
        <v>4209.91</v>
      </c>
      <c r="G2850" t="s">
        <v>47</v>
      </c>
      <c r="H2850" s="1" t="s">
        <v>44</v>
      </c>
      <c r="I2850" t="s">
        <v>1601</v>
      </c>
      <c r="J2850" t="s">
        <v>1561</v>
      </c>
      <c r="K2850" t="s">
        <v>1184</v>
      </c>
      <c r="L2850" t="s">
        <v>1541</v>
      </c>
      <c r="M2850">
        <v>907445</v>
      </c>
    </row>
    <row r="2851" spans="1:13" ht="15">
      <c r="A2851" s="4">
        <v>201406</v>
      </c>
      <c r="B2851" t="s">
        <v>1559</v>
      </c>
      <c r="C2851" s="5">
        <v>6534214</v>
      </c>
      <c r="D2851" s="2" t="s">
        <v>1581</v>
      </c>
      <c r="E2851" s="2" t="s">
        <v>15</v>
      </c>
      <c r="F2851" s="3">
        <v>4479.6</v>
      </c>
      <c r="G2851" t="s">
        <v>47</v>
      </c>
      <c r="H2851" s="1" t="s">
        <v>44</v>
      </c>
      <c r="I2851" t="s">
        <v>1602</v>
      </c>
      <c r="J2851" t="s">
        <v>1561</v>
      </c>
      <c r="K2851" t="s">
        <v>1184</v>
      </c>
      <c r="L2851" t="s">
        <v>1541</v>
      </c>
      <c r="M2851">
        <v>908176</v>
      </c>
    </row>
    <row r="2852" spans="1:13" ht="15">
      <c r="A2852" s="4">
        <v>201406</v>
      </c>
      <c r="B2852" t="s">
        <v>1559</v>
      </c>
      <c r="C2852" s="5">
        <v>6534214</v>
      </c>
      <c r="D2852" s="2" t="s">
        <v>1581</v>
      </c>
      <c r="E2852" s="2" t="s">
        <v>15</v>
      </c>
      <c r="F2852" s="3">
        <v>4785.7</v>
      </c>
      <c r="G2852" t="s">
        <v>47</v>
      </c>
      <c r="H2852" s="1" t="s">
        <v>44</v>
      </c>
      <c r="I2852" t="s">
        <v>1603</v>
      </c>
      <c r="J2852" t="s">
        <v>1561</v>
      </c>
      <c r="K2852" t="s">
        <v>1184</v>
      </c>
      <c r="L2852" t="s">
        <v>1541</v>
      </c>
      <c r="M2852">
        <v>907924</v>
      </c>
    </row>
    <row r="2853" spans="1:13" ht="15">
      <c r="A2853" s="4">
        <v>201406</v>
      </c>
      <c r="B2853" t="s">
        <v>1559</v>
      </c>
      <c r="C2853" s="5">
        <v>6534214</v>
      </c>
      <c r="D2853" s="2" t="s">
        <v>1581</v>
      </c>
      <c r="E2853" s="2" t="s">
        <v>15</v>
      </c>
      <c r="F2853" s="3">
        <v>4956.79</v>
      </c>
      <c r="G2853" t="s">
        <v>47</v>
      </c>
      <c r="H2853" s="1" t="s">
        <v>44</v>
      </c>
      <c r="I2853" t="s">
        <v>1604</v>
      </c>
      <c r="J2853" t="s">
        <v>1561</v>
      </c>
      <c r="K2853" t="s">
        <v>1184</v>
      </c>
      <c r="L2853" t="s">
        <v>1541</v>
      </c>
      <c r="M2853">
        <v>907217</v>
      </c>
    </row>
    <row r="2854" spans="1:13" ht="15">
      <c r="A2854" s="4">
        <v>201407</v>
      </c>
      <c r="B2854" t="s">
        <v>1559</v>
      </c>
      <c r="C2854" s="5">
        <v>6534214</v>
      </c>
      <c r="D2854" s="2" t="s">
        <v>1581</v>
      </c>
      <c r="E2854" s="2" t="s">
        <v>15</v>
      </c>
      <c r="F2854" s="3">
        <v>2239.8</v>
      </c>
      <c r="G2854" t="s">
        <v>47</v>
      </c>
      <c r="H2854" s="1" t="s">
        <v>44</v>
      </c>
      <c r="I2854" t="s">
        <v>1605</v>
      </c>
      <c r="J2854" t="s">
        <v>1561</v>
      </c>
      <c r="K2854" t="s">
        <v>1184</v>
      </c>
      <c r="L2854" t="s">
        <v>1541</v>
      </c>
      <c r="M2854">
        <v>909520</v>
      </c>
    </row>
    <row r="2855" spans="1:13" ht="15">
      <c r="A2855" s="4">
        <v>201407</v>
      </c>
      <c r="B2855" t="s">
        <v>1559</v>
      </c>
      <c r="C2855" s="5">
        <v>6534214</v>
      </c>
      <c r="D2855" s="2" t="s">
        <v>1581</v>
      </c>
      <c r="E2855" s="2" t="s">
        <v>15</v>
      </c>
      <c r="F2855" s="3">
        <v>4974.84</v>
      </c>
      <c r="G2855" t="s">
        <v>47</v>
      </c>
      <c r="H2855" s="1" t="s">
        <v>44</v>
      </c>
      <c r="I2855" t="s">
        <v>1606</v>
      </c>
      <c r="J2855" t="s">
        <v>1561</v>
      </c>
      <c r="K2855" t="s">
        <v>1184</v>
      </c>
      <c r="L2855" t="s">
        <v>1541</v>
      </c>
      <c r="M2855">
        <v>908419</v>
      </c>
    </row>
    <row r="2856" spans="1:13" ht="15">
      <c r="A2856" s="4">
        <v>201404</v>
      </c>
      <c r="B2856" t="s">
        <v>1559</v>
      </c>
      <c r="C2856" s="5">
        <v>6534214</v>
      </c>
      <c r="D2856" s="2" t="s">
        <v>1581</v>
      </c>
      <c r="E2856" s="2" t="s">
        <v>15</v>
      </c>
      <c r="F2856" s="3">
        <v>1262.25</v>
      </c>
      <c r="G2856" t="s">
        <v>79</v>
      </c>
      <c r="H2856" s="1" t="s">
        <v>78</v>
      </c>
      <c r="I2856" t="s">
        <v>1607</v>
      </c>
      <c r="J2856" t="s">
        <v>1561</v>
      </c>
      <c r="K2856" t="s">
        <v>1184</v>
      </c>
      <c r="L2856" t="s">
        <v>1541</v>
      </c>
      <c r="M2856">
        <v>902793</v>
      </c>
    </row>
    <row r="2857" spans="1:13" ht="15">
      <c r="A2857" s="4">
        <v>201406</v>
      </c>
      <c r="B2857" t="s">
        <v>1559</v>
      </c>
      <c r="C2857" s="5">
        <v>6534214</v>
      </c>
      <c r="D2857" s="2" t="s">
        <v>1581</v>
      </c>
      <c r="E2857" s="2" t="s">
        <v>15</v>
      </c>
      <c r="F2857" s="3">
        <v>42.32</v>
      </c>
      <c r="G2857" t="s">
        <v>47</v>
      </c>
      <c r="H2857" s="1" t="s">
        <v>78</v>
      </c>
      <c r="I2857" t="s">
        <v>1608</v>
      </c>
      <c r="J2857" t="s">
        <v>1561</v>
      </c>
      <c r="K2857" t="s">
        <v>1184</v>
      </c>
      <c r="L2857" t="s">
        <v>1541</v>
      </c>
      <c r="M2857">
        <v>907926</v>
      </c>
    </row>
    <row r="2858" spans="1:13" ht="15">
      <c r="A2858" s="4">
        <v>201403</v>
      </c>
      <c r="B2858" t="s">
        <v>1559</v>
      </c>
      <c r="C2858" s="5">
        <v>6534214</v>
      </c>
      <c r="D2858" s="2" t="s">
        <v>1581</v>
      </c>
      <c r="E2858" s="2" t="s">
        <v>15</v>
      </c>
      <c r="F2858" s="3">
        <v>4629.66</v>
      </c>
      <c r="G2858" t="s">
        <v>47</v>
      </c>
      <c r="H2858" s="1" t="s">
        <v>46</v>
      </c>
      <c r="I2858" t="s">
        <v>1569</v>
      </c>
      <c r="J2858" t="s">
        <v>1561</v>
      </c>
      <c r="K2858" t="s">
        <v>1184</v>
      </c>
      <c r="L2858" t="s">
        <v>1541</v>
      </c>
      <c r="M2858">
        <v>901927</v>
      </c>
    </row>
    <row r="2859" spans="1:13" ht="15">
      <c r="A2859" s="4">
        <v>201404</v>
      </c>
      <c r="B2859" t="s">
        <v>1559</v>
      </c>
      <c r="C2859" s="5">
        <v>6534214</v>
      </c>
      <c r="D2859" s="2" t="s">
        <v>1581</v>
      </c>
      <c r="E2859" s="2" t="s">
        <v>15</v>
      </c>
      <c r="F2859" s="3">
        <v>-46.32</v>
      </c>
      <c r="G2859" t="s">
        <v>47</v>
      </c>
      <c r="H2859" s="1" t="s">
        <v>46</v>
      </c>
      <c r="I2859" t="s">
        <v>1569</v>
      </c>
      <c r="J2859" t="s">
        <v>1561</v>
      </c>
      <c r="K2859" t="s">
        <v>1184</v>
      </c>
      <c r="L2859" t="s">
        <v>1541</v>
      </c>
      <c r="M2859">
        <v>901927</v>
      </c>
    </row>
    <row r="2860" spans="1:13" ht="15">
      <c r="A2860" s="4">
        <v>201404</v>
      </c>
      <c r="B2860" t="s">
        <v>1559</v>
      </c>
      <c r="C2860" s="5">
        <v>6534214</v>
      </c>
      <c r="D2860" s="2" t="s">
        <v>1581</v>
      </c>
      <c r="E2860" s="2" t="s">
        <v>15</v>
      </c>
      <c r="F2860" s="3">
        <v>372.51</v>
      </c>
      <c r="G2860" t="s">
        <v>47</v>
      </c>
      <c r="H2860" s="1" t="s">
        <v>46</v>
      </c>
      <c r="I2860" t="s">
        <v>48</v>
      </c>
      <c r="J2860" t="s">
        <v>1561</v>
      </c>
      <c r="K2860" t="s">
        <v>1184</v>
      </c>
      <c r="L2860" t="s">
        <v>1541</v>
      </c>
      <c r="M2860">
        <v>904363</v>
      </c>
    </row>
    <row r="2861" spans="1:13" ht="15">
      <c r="A2861" s="4">
        <v>201404</v>
      </c>
      <c r="B2861" t="s">
        <v>1559</v>
      </c>
      <c r="C2861" s="5">
        <v>6534214</v>
      </c>
      <c r="D2861" s="2" t="s">
        <v>1581</v>
      </c>
      <c r="E2861" s="2" t="s">
        <v>15</v>
      </c>
      <c r="F2861" s="3">
        <v>1892.86</v>
      </c>
      <c r="G2861" t="s">
        <v>79</v>
      </c>
      <c r="H2861" s="1" t="s">
        <v>46</v>
      </c>
      <c r="I2861" t="s">
        <v>1607</v>
      </c>
      <c r="J2861" t="s">
        <v>1561</v>
      </c>
      <c r="K2861" t="s">
        <v>1184</v>
      </c>
      <c r="L2861" t="s">
        <v>1541</v>
      </c>
      <c r="M2861">
        <v>902793</v>
      </c>
    </row>
    <row r="2862" spans="1:13" ht="15">
      <c r="A2862" s="4">
        <v>201404</v>
      </c>
      <c r="B2862" t="s">
        <v>1559</v>
      </c>
      <c r="C2862" s="5">
        <v>6534214</v>
      </c>
      <c r="D2862" s="2" t="s">
        <v>1581</v>
      </c>
      <c r="E2862" s="2" t="s">
        <v>15</v>
      </c>
      <c r="F2862" s="3">
        <v>6662.88</v>
      </c>
      <c r="G2862" t="s">
        <v>47</v>
      </c>
      <c r="H2862" s="1" t="s">
        <v>46</v>
      </c>
      <c r="I2862" t="s">
        <v>1609</v>
      </c>
      <c r="J2862" t="s">
        <v>1561</v>
      </c>
      <c r="K2862" t="s">
        <v>1184</v>
      </c>
      <c r="L2862" t="s">
        <v>1541</v>
      </c>
      <c r="M2862">
        <v>902824</v>
      </c>
    </row>
    <row r="2863" spans="1:13" ht="15">
      <c r="A2863" s="4">
        <v>201404</v>
      </c>
      <c r="B2863" t="s">
        <v>1559</v>
      </c>
      <c r="C2863" s="5">
        <v>6534214</v>
      </c>
      <c r="D2863" s="2" t="s">
        <v>1581</v>
      </c>
      <c r="E2863" s="2" t="s">
        <v>15</v>
      </c>
      <c r="F2863" s="3">
        <v>9208.74</v>
      </c>
      <c r="G2863" t="s">
        <v>47</v>
      </c>
      <c r="H2863" s="1" t="s">
        <v>46</v>
      </c>
      <c r="I2863" t="s">
        <v>1564</v>
      </c>
      <c r="J2863" t="s">
        <v>1561</v>
      </c>
      <c r="K2863" t="s">
        <v>1184</v>
      </c>
      <c r="L2863" t="s">
        <v>1541</v>
      </c>
      <c r="M2863">
        <v>904372</v>
      </c>
    </row>
    <row r="2864" spans="1:13" ht="15">
      <c r="A2864" s="4">
        <v>201404</v>
      </c>
      <c r="B2864" t="s">
        <v>1559</v>
      </c>
      <c r="C2864" s="5">
        <v>6534214</v>
      </c>
      <c r="D2864" s="2" t="s">
        <v>1581</v>
      </c>
      <c r="E2864" s="2" t="s">
        <v>15</v>
      </c>
      <c r="F2864" s="3">
        <v>12231.44</v>
      </c>
      <c r="G2864" t="s">
        <v>47</v>
      </c>
      <c r="H2864" s="1" t="s">
        <v>46</v>
      </c>
      <c r="I2864" t="s">
        <v>1610</v>
      </c>
      <c r="J2864" t="s">
        <v>1561</v>
      </c>
      <c r="K2864" t="s">
        <v>1184</v>
      </c>
      <c r="L2864" t="s">
        <v>1541</v>
      </c>
      <c r="M2864">
        <v>903402</v>
      </c>
    </row>
    <row r="2865" spans="1:13" ht="15">
      <c r="A2865" s="4">
        <v>201405</v>
      </c>
      <c r="B2865" t="s">
        <v>1559</v>
      </c>
      <c r="C2865" s="5">
        <v>6534214</v>
      </c>
      <c r="D2865" s="2" t="s">
        <v>1581</v>
      </c>
      <c r="E2865" s="2" t="s">
        <v>15</v>
      </c>
      <c r="F2865" s="3">
        <v>1675.75</v>
      </c>
      <c r="G2865" t="s">
        <v>47</v>
      </c>
      <c r="H2865" s="1" t="s">
        <v>46</v>
      </c>
      <c r="I2865" t="s">
        <v>53</v>
      </c>
      <c r="J2865" t="s">
        <v>1561</v>
      </c>
      <c r="K2865" t="s">
        <v>1184</v>
      </c>
      <c r="L2865" t="s">
        <v>1541</v>
      </c>
      <c r="M2865">
        <v>905670</v>
      </c>
    </row>
    <row r="2866" spans="1:13" ht="15">
      <c r="A2866" s="4">
        <v>201405</v>
      </c>
      <c r="B2866" t="s">
        <v>1559</v>
      </c>
      <c r="C2866" s="5">
        <v>6534214</v>
      </c>
      <c r="D2866" s="2" t="s">
        <v>1581</v>
      </c>
      <c r="E2866" s="2" t="s">
        <v>15</v>
      </c>
      <c r="F2866" s="3">
        <v>4372.5</v>
      </c>
      <c r="G2866" t="s">
        <v>47</v>
      </c>
      <c r="H2866" s="1" t="s">
        <v>46</v>
      </c>
      <c r="I2866" t="s">
        <v>51</v>
      </c>
      <c r="J2866" t="s">
        <v>1561</v>
      </c>
      <c r="K2866" t="s">
        <v>1184</v>
      </c>
      <c r="L2866" t="s">
        <v>1541</v>
      </c>
      <c r="M2866">
        <v>905956</v>
      </c>
    </row>
    <row r="2867" spans="1:12" ht="15">
      <c r="A2867" s="4">
        <v>201403</v>
      </c>
      <c r="B2867" t="s">
        <v>1559</v>
      </c>
      <c r="C2867" s="5">
        <v>6534216</v>
      </c>
      <c r="D2867" s="2" t="s">
        <v>1611</v>
      </c>
      <c r="E2867" s="2" t="s">
        <v>15</v>
      </c>
      <c r="F2867" s="3">
        <v>3.15</v>
      </c>
      <c r="H2867" s="1" t="s">
        <v>14</v>
      </c>
      <c r="I2867" t="s">
        <v>548</v>
      </c>
      <c r="J2867" t="s">
        <v>1561</v>
      </c>
      <c r="K2867" t="s">
        <v>1184</v>
      </c>
      <c r="L2867" t="s">
        <v>1541</v>
      </c>
    </row>
    <row r="2868" spans="1:12" ht="15">
      <c r="A2868" s="4">
        <v>201403</v>
      </c>
      <c r="B2868" t="s">
        <v>1559</v>
      </c>
      <c r="C2868" s="5">
        <v>6534216</v>
      </c>
      <c r="D2868" s="2" t="s">
        <v>1611</v>
      </c>
      <c r="E2868" s="2" t="s">
        <v>15</v>
      </c>
      <c r="F2868" s="3">
        <v>16.94</v>
      </c>
      <c r="H2868" s="1" t="s">
        <v>14</v>
      </c>
      <c r="I2868" t="s">
        <v>457</v>
      </c>
      <c r="J2868" t="s">
        <v>1561</v>
      </c>
      <c r="K2868" t="s">
        <v>1184</v>
      </c>
      <c r="L2868" t="s">
        <v>1541</v>
      </c>
    </row>
    <row r="2869" spans="1:12" ht="15">
      <c r="A2869" s="4">
        <v>201403</v>
      </c>
      <c r="B2869" t="s">
        <v>1559</v>
      </c>
      <c r="C2869" s="5">
        <v>6534216</v>
      </c>
      <c r="D2869" s="2" t="s">
        <v>1611</v>
      </c>
      <c r="E2869" s="2" t="s">
        <v>15</v>
      </c>
      <c r="F2869" s="3">
        <v>44.73</v>
      </c>
      <c r="H2869" s="1" t="s">
        <v>14</v>
      </c>
      <c r="I2869" t="s">
        <v>1340</v>
      </c>
      <c r="J2869" t="s">
        <v>1561</v>
      </c>
      <c r="K2869" t="s">
        <v>1184</v>
      </c>
      <c r="L2869" t="s">
        <v>1541</v>
      </c>
    </row>
    <row r="2870" spans="1:14" ht="15">
      <c r="A2870" s="4">
        <v>201402</v>
      </c>
      <c r="B2870" t="s">
        <v>1559</v>
      </c>
      <c r="C2870" s="5">
        <v>6536572</v>
      </c>
      <c r="D2870" s="2" t="s">
        <v>1612</v>
      </c>
      <c r="E2870" s="2" t="s">
        <v>15</v>
      </c>
      <c r="F2870" s="3">
        <v>43.23</v>
      </c>
      <c r="G2870" t="s">
        <v>57</v>
      </c>
      <c r="H2870" s="1" t="s">
        <v>60</v>
      </c>
      <c r="I2870" t="e">
        <f>-16294/KY67756558/1</f>
        <v>#NAME?</v>
      </c>
      <c r="J2870" t="s">
        <v>1561</v>
      </c>
      <c r="K2870" t="s">
        <v>1184</v>
      </c>
      <c r="L2870" t="s">
        <v>1541</v>
      </c>
      <c r="N2870" t="s">
        <v>58</v>
      </c>
    </row>
    <row r="2871" spans="1:13" ht="15">
      <c r="A2871" s="4">
        <v>201402</v>
      </c>
      <c r="B2871" t="s">
        <v>1559</v>
      </c>
      <c r="C2871" s="5">
        <v>6536572</v>
      </c>
      <c r="D2871" s="2" t="s">
        <v>1612</v>
      </c>
      <c r="E2871" s="2" t="s">
        <v>15</v>
      </c>
      <c r="F2871" s="3">
        <v>713.26</v>
      </c>
      <c r="G2871" t="s">
        <v>96</v>
      </c>
      <c r="H2871" s="1" t="s">
        <v>60</v>
      </c>
      <c r="I2871" t="s">
        <v>1613</v>
      </c>
      <c r="J2871" t="s">
        <v>1561</v>
      </c>
      <c r="K2871" t="s">
        <v>1184</v>
      </c>
      <c r="L2871" t="s">
        <v>1541</v>
      </c>
      <c r="M2871">
        <v>898277</v>
      </c>
    </row>
    <row r="2872" spans="1:14" ht="15">
      <c r="A2872" s="4">
        <v>201403</v>
      </c>
      <c r="B2872" t="s">
        <v>1559</v>
      </c>
      <c r="C2872" s="5">
        <v>6536572</v>
      </c>
      <c r="D2872" s="2" t="s">
        <v>1612</v>
      </c>
      <c r="E2872" s="2" t="s">
        <v>15</v>
      </c>
      <c r="F2872" s="3">
        <v>572.4</v>
      </c>
      <c r="G2872" t="s">
        <v>57</v>
      </c>
      <c r="H2872" s="1" t="s">
        <v>60</v>
      </c>
      <c r="I2872">
        <f>-14149/456882/1</f>
        <v>-0.030968608962489222</v>
      </c>
      <c r="J2872" t="s">
        <v>1561</v>
      </c>
      <c r="K2872" t="s">
        <v>1184</v>
      </c>
      <c r="L2872" t="s">
        <v>1541</v>
      </c>
      <c r="N2872" t="s">
        <v>58</v>
      </c>
    </row>
    <row r="2873" spans="1:13" ht="15">
      <c r="A2873" s="4">
        <v>201403</v>
      </c>
      <c r="B2873" t="s">
        <v>1559</v>
      </c>
      <c r="C2873" s="5">
        <v>6536572</v>
      </c>
      <c r="D2873" s="2" t="s">
        <v>1612</v>
      </c>
      <c r="E2873" s="2" t="s">
        <v>15</v>
      </c>
      <c r="F2873" s="3">
        <v>9540</v>
      </c>
      <c r="G2873" t="s">
        <v>62</v>
      </c>
      <c r="H2873" s="1" t="s">
        <v>60</v>
      </c>
      <c r="I2873" t="s">
        <v>1614</v>
      </c>
      <c r="J2873" t="s">
        <v>1561</v>
      </c>
      <c r="K2873" t="s">
        <v>1184</v>
      </c>
      <c r="L2873" t="s">
        <v>1541</v>
      </c>
      <c r="M2873">
        <v>897952</v>
      </c>
    </row>
    <row r="2874" spans="1:14" ht="15">
      <c r="A2874" s="4">
        <v>201402</v>
      </c>
      <c r="B2874" t="s">
        <v>1559</v>
      </c>
      <c r="C2874" s="5">
        <v>6536572</v>
      </c>
      <c r="D2874" s="2" t="s">
        <v>1612</v>
      </c>
      <c r="E2874" s="2" t="s">
        <v>15</v>
      </c>
      <c r="F2874" s="3">
        <v>5.34</v>
      </c>
      <c r="G2874" t="s">
        <v>57</v>
      </c>
      <c r="H2874" s="1" t="s">
        <v>69</v>
      </c>
      <c r="I2874" t="e">
        <f>-16294/KY67756558/1</f>
        <v>#NAME?</v>
      </c>
      <c r="J2874" t="s">
        <v>1561</v>
      </c>
      <c r="K2874" t="s">
        <v>1184</v>
      </c>
      <c r="L2874" t="s">
        <v>1541</v>
      </c>
      <c r="N2874" t="s">
        <v>58</v>
      </c>
    </row>
    <row r="2875" spans="1:12" ht="15">
      <c r="A2875" s="4">
        <v>201402</v>
      </c>
      <c r="B2875" t="s">
        <v>1559</v>
      </c>
      <c r="C2875" s="5">
        <v>6536572</v>
      </c>
      <c r="D2875" s="2" t="s">
        <v>1612</v>
      </c>
      <c r="E2875" s="2" t="s">
        <v>15</v>
      </c>
      <c r="F2875" s="3">
        <v>88.94</v>
      </c>
      <c r="G2875" t="s">
        <v>96</v>
      </c>
      <c r="H2875" s="1" t="s">
        <v>69</v>
      </c>
      <c r="I2875" t="e">
        <f>-freight</f>
        <v>#NAME?</v>
      </c>
      <c r="J2875" t="s">
        <v>1561</v>
      </c>
      <c r="K2875" t="s">
        <v>1184</v>
      </c>
      <c r="L2875" t="s">
        <v>1541</v>
      </c>
    </row>
    <row r="2876" spans="1:14" ht="15">
      <c r="A2876" s="4">
        <v>201403</v>
      </c>
      <c r="B2876" t="s">
        <v>1559</v>
      </c>
      <c r="C2876" s="5">
        <v>6536572</v>
      </c>
      <c r="D2876" s="2" t="s">
        <v>1612</v>
      </c>
      <c r="E2876" s="2" t="s">
        <v>15</v>
      </c>
      <c r="F2876" s="3">
        <v>42.67</v>
      </c>
      <c r="G2876" t="s">
        <v>57</v>
      </c>
      <c r="H2876" s="1" t="s">
        <v>69</v>
      </c>
      <c r="I2876">
        <f>-14149/456882/1</f>
        <v>-0.030968608962489222</v>
      </c>
      <c r="J2876" t="s">
        <v>1561</v>
      </c>
      <c r="K2876" t="s">
        <v>1184</v>
      </c>
      <c r="L2876" t="s">
        <v>1541</v>
      </c>
      <c r="N2876" t="s">
        <v>58</v>
      </c>
    </row>
    <row r="2877" spans="1:12" ht="15">
      <c r="A2877" s="4">
        <v>201403</v>
      </c>
      <c r="B2877" t="s">
        <v>1559</v>
      </c>
      <c r="C2877" s="5">
        <v>6536572</v>
      </c>
      <c r="D2877" s="2" t="s">
        <v>1612</v>
      </c>
      <c r="E2877" s="2" t="s">
        <v>15</v>
      </c>
      <c r="F2877" s="3">
        <v>711.16</v>
      </c>
      <c r="G2877" t="s">
        <v>62</v>
      </c>
      <c r="H2877" s="1" t="s">
        <v>69</v>
      </c>
      <c r="I2877" t="e">
        <f>-freight</f>
        <v>#NAME?</v>
      </c>
      <c r="J2877" t="s">
        <v>1561</v>
      </c>
      <c r="K2877" t="s">
        <v>1184</v>
      </c>
      <c r="L2877" t="s">
        <v>1541</v>
      </c>
    </row>
    <row r="2878" spans="1:13" ht="15">
      <c r="A2878" s="4">
        <v>201403</v>
      </c>
      <c r="B2878" t="s">
        <v>1559</v>
      </c>
      <c r="C2878" s="5">
        <v>6538222</v>
      </c>
      <c r="D2878" s="2" t="s">
        <v>1616</v>
      </c>
      <c r="E2878" s="2" t="s">
        <v>15</v>
      </c>
      <c r="F2878" s="3">
        <v>468.35</v>
      </c>
      <c r="G2878" t="s">
        <v>47</v>
      </c>
      <c r="H2878" s="1" t="s">
        <v>44</v>
      </c>
      <c r="I2878" t="s">
        <v>1615</v>
      </c>
      <c r="J2878" t="s">
        <v>1561</v>
      </c>
      <c r="K2878" t="s">
        <v>1184</v>
      </c>
      <c r="L2878" t="s">
        <v>1541</v>
      </c>
      <c r="M2878">
        <v>901317</v>
      </c>
    </row>
    <row r="2879" spans="1:13" ht="15">
      <c r="A2879" s="4">
        <v>201403</v>
      </c>
      <c r="B2879" t="s">
        <v>1559</v>
      </c>
      <c r="C2879" s="5">
        <v>6538222</v>
      </c>
      <c r="D2879" s="2" t="s">
        <v>1616</v>
      </c>
      <c r="E2879" s="2" t="s">
        <v>15</v>
      </c>
      <c r="F2879" s="3">
        <v>1511.67</v>
      </c>
      <c r="G2879" t="s">
        <v>47</v>
      </c>
      <c r="H2879" s="1" t="s">
        <v>46</v>
      </c>
      <c r="I2879" t="s">
        <v>1573</v>
      </c>
      <c r="J2879" t="s">
        <v>1561</v>
      </c>
      <c r="K2879" t="s">
        <v>1184</v>
      </c>
      <c r="L2879" t="s">
        <v>1541</v>
      </c>
      <c r="M2879">
        <v>901199</v>
      </c>
    </row>
    <row r="2880" spans="1:13" ht="15">
      <c r="A2880" s="4">
        <v>201403</v>
      </c>
      <c r="B2880" t="s">
        <v>1559</v>
      </c>
      <c r="C2880" s="5">
        <v>6538222</v>
      </c>
      <c r="D2880" s="2" t="s">
        <v>1616</v>
      </c>
      <c r="E2880" s="2" t="s">
        <v>15</v>
      </c>
      <c r="F2880" s="3">
        <v>2563.56</v>
      </c>
      <c r="G2880" t="s">
        <v>47</v>
      </c>
      <c r="H2880" s="1" t="s">
        <v>46</v>
      </c>
      <c r="I2880" t="s">
        <v>1569</v>
      </c>
      <c r="J2880" t="s">
        <v>1561</v>
      </c>
      <c r="K2880" t="s">
        <v>1184</v>
      </c>
      <c r="L2880" t="s">
        <v>1541</v>
      </c>
      <c r="M2880">
        <v>901927</v>
      </c>
    </row>
    <row r="2881" spans="1:13" ht="15">
      <c r="A2881" s="4">
        <v>201404</v>
      </c>
      <c r="B2881" t="s">
        <v>1559</v>
      </c>
      <c r="C2881" s="5">
        <v>6538222</v>
      </c>
      <c r="D2881" s="2" t="s">
        <v>1616</v>
      </c>
      <c r="E2881" s="2" t="s">
        <v>15</v>
      </c>
      <c r="F2881" s="3">
        <v>-25.64</v>
      </c>
      <c r="G2881" t="s">
        <v>47</v>
      </c>
      <c r="H2881" s="1" t="s">
        <v>46</v>
      </c>
      <c r="I2881" t="s">
        <v>1569</v>
      </c>
      <c r="J2881" t="s">
        <v>1561</v>
      </c>
      <c r="K2881" t="s">
        <v>1184</v>
      </c>
      <c r="L2881" t="s">
        <v>1541</v>
      </c>
      <c r="M2881">
        <v>901927</v>
      </c>
    </row>
    <row r="2882" spans="1:13" ht="15">
      <c r="A2882" s="4">
        <v>201404</v>
      </c>
      <c r="B2882" t="s">
        <v>1559</v>
      </c>
      <c r="C2882" s="5">
        <v>6538222</v>
      </c>
      <c r="D2882" s="2" t="s">
        <v>1616</v>
      </c>
      <c r="E2882" s="2" t="s">
        <v>15</v>
      </c>
      <c r="F2882" s="3">
        <v>3580.23</v>
      </c>
      <c r="G2882" t="s">
        <v>47</v>
      </c>
      <c r="H2882" s="1" t="s">
        <v>46</v>
      </c>
      <c r="I2882" t="s">
        <v>1610</v>
      </c>
      <c r="J2882" t="s">
        <v>1561</v>
      </c>
      <c r="K2882" t="s">
        <v>1184</v>
      </c>
      <c r="L2882" t="s">
        <v>1541</v>
      </c>
      <c r="M2882">
        <v>903402</v>
      </c>
    </row>
    <row r="2883" spans="1:13" ht="15">
      <c r="A2883" s="4">
        <v>201403</v>
      </c>
      <c r="B2883" t="s">
        <v>1559</v>
      </c>
      <c r="C2883" s="5">
        <v>6538223</v>
      </c>
      <c r="D2883" s="2" t="s">
        <v>1618</v>
      </c>
      <c r="E2883" s="2" t="s">
        <v>15</v>
      </c>
      <c r="F2883" s="3">
        <v>474.95</v>
      </c>
      <c r="G2883" t="s">
        <v>47</v>
      </c>
      <c r="H2883" s="1" t="s">
        <v>46</v>
      </c>
      <c r="I2883" t="s">
        <v>1617</v>
      </c>
      <c r="J2883" t="s">
        <v>1561</v>
      </c>
      <c r="K2883" t="s">
        <v>1184</v>
      </c>
      <c r="L2883" t="s">
        <v>1541</v>
      </c>
      <c r="M2883">
        <v>900108</v>
      </c>
    </row>
    <row r="2884" spans="1:13" ht="15">
      <c r="A2884" s="4">
        <v>201403</v>
      </c>
      <c r="B2884" t="s">
        <v>1559</v>
      </c>
      <c r="C2884" s="5">
        <v>6538223</v>
      </c>
      <c r="D2884" s="2" t="s">
        <v>1618</v>
      </c>
      <c r="E2884" s="2" t="s">
        <v>15</v>
      </c>
      <c r="F2884" s="3">
        <v>2031.25</v>
      </c>
      <c r="G2884" t="s">
        <v>47</v>
      </c>
      <c r="H2884" s="1" t="s">
        <v>46</v>
      </c>
      <c r="I2884" t="s">
        <v>1569</v>
      </c>
      <c r="J2884" t="s">
        <v>1561</v>
      </c>
      <c r="K2884" t="s">
        <v>1184</v>
      </c>
      <c r="L2884" t="s">
        <v>1541</v>
      </c>
      <c r="M2884">
        <v>901927</v>
      </c>
    </row>
    <row r="2885" spans="1:13" ht="15">
      <c r="A2885" s="4">
        <v>201404</v>
      </c>
      <c r="B2885" t="s">
        <v>1559</v>
      </c>
      <c r="C2885" s="5">
        <v>6538223</v>
      </c>
      <c r="D2885" s="2" t="s">
        <v>1618</v>
      </c>
      <c r="E2885" s="2" t="s">
        <v>15</v>
      </c>
      <c r="F2885" s="3">
        <v>-20.31</v>
      </c>
      <c r="G2885" t="s">
        <v>47</v>
      </c>
      <c r="H2885" s="1" t="s">
        <v>46</v>
      </c>
      <c r="I2885" t="s">
        <v>1569</v>
      </c>
      <c r="J2885" t="s">
        <v>1561</v>
      </c>
      <c r="K2885" t="s">
        <v>1184</v>
      </c>
      <c r="L2885" t="s">
        <v>1541</v>
      </c>
      <c r="M2885">
        <v>901927</v>
      </c>
    </row>
    <row r="2886" spans="1:13" ht="15">
      <c r="A2886" s="4">
        <v>201404</v>
      </c>
      <c r="B2886" t="s">
        <v>1559</v>
      </c>
      <c r="C2886" s="5">
        <v>6538223</v>
      </c>
      <c r="D2886" s="2" t="s">
        <v>1618</v>
      </c>
      <c r="E2886" s="2" t="s">
        <v>15</v>
      </c>
      <c r="F2886" s="3">
        <v>1849.76</v>
      </c>
      <c r="G2886" t="s">
        <v>47</v>
      </c>
      <c r="H2886" s="1" t="s">
        <v>46</v>
      </c>
      <c r="I2886" t="s">
        <v>1609</v>
      </c>
      <c r="J2886" t="s">
        <v>1561</v>
      </c>
      <c r="K2886" t="s">
        <v>1184</v>
      </c>
      <c r="L2886" t="s">
        <v>1541</v>
      </c>
      <c r="M2886">
        <v>902824</v>
      </c>
    </row>
    <row r="2887" spans="1:13" ht="15">
      <c r="A2887" s="4">
        <v>201403</v>
      </c>
      <c r="B2887" t="s">
        <v>1559</v>
      </c>
      <c r="C2887" s="5">
        <v>6538224</v>
      </c>
      <c r="D2887" s="2" t="s">
        <v>1619</v>
      </c>
      <c r="E2887" s="2" t="s">
        <v>15</v>
      </c>
      <c r="F2887" s="3">
        <v>1362.81</v>
      </c>
      <c r="G2887" t="s">
        <v>47</v>
      </c>
      <c r="H2887" s="1" t="s">
        <v>46</v>
      </c>
      <c r="I2887" t="s">
        <v>1617</v>
      </c>
      <c r="J2887" t="s">
        <v>1561</v>
      </c>
      <c r="K2887" t="s">
        <v>1184</v>
      </c>
      <c r="L2887" t="s">
        <v>1541</v>
      </c>
      <c r="M2887">
        <v>900108</v>
      </c>
    </row>
    <row r="2888" spans="1:13" ht="15">
      <c r="A2888" s="4">
        <v>201403</v>
      </c>
      <c r="B2888" t="s">
        <v>1559</v>
      </c>
      <c r="C2888" s="5">
        <v>6538225</v>
      </c>
      <c r="D2888" s="2" t="s">
        <v>1620</v>
      </c>
      <c r="E2888" s="2" t="s">
        <v>15</v>
      </c>
      <c r="F2888" s="3">
        <v>211.7</v>
      </c>
      <c r="G2888" t="s">
        <v>47</v>
      </c>
      <c r="H2888" s="1" t="s">
        <v>46</v>
      </c>
      <c r="I2888" t="s">
        <v>1617</v>
      </c>
      <c r="J2888" t="s">
        <v>1561</v>
      </c>
      <c r="K2888" t="s">
        <v>1184</v>
      </c>
      <c r="L2888" t="s">
        <v>1541</v>
      </c>
      <c r="M2888">
        <v>900108</v>
      </c>
    </row>
    <row r="2889" spans="1:13" ht="15">
      <c r="A2889" s="4">
        <v>201403</v>
      </c>
      <c r="B2889" t="s">
        <v>1559</v>
      </c>
      <c r="C2889" s="5">
        <v>6538226</v>
      </c>
      <c r="D2889" s="2" t="s">
        <v>1621</v>
      </c>
      <c r="E2889" s="2" t="s">
        <v>15</v>
      </c>
      <c r="F2889" s="3">
        <v>211.7</v>
      </c>
      <c r="G2889" t="s">
        <v>47</v>
      </c>
      <c r="H2889" s="1" t="s">
        <v>46</v>
      </c>
      <c r="I2889" t="s">
        <v>1617</v>
      </c>
      <c r="J2889" t="s">
        <v>1561</v>
      </c>
      <c r="K2889" t="s">
        <v>1184</v>
      </c>
      <c r="L2889" t="s">
        <v>1541</v>
      </c>
      <c r="M2889">
        <v>900108</v>
      </c>
    </row>
    <row r="2890" spans="1:13" ht="15">
      <c r="A2890" s="4">
        <v>201403</v>
      </c>
      <c r="B2890" t="s">
        <v>1559</v>
      </c>
      <c r="C2890" s="5">
        <v>6538227</v>
      </c>
      <c r="D2890" s="2" t="s">
        <v>1622</v>
      </c>
      <c r="E2890" s="2" t="s">
        <v>15</v>
      </c>
      <c r="F2890" s="3">
        <v>141.13</v>
      </c>
      <c r="G2890" t="s">
        <v>47</v>
      </c>
      <c r="H2890" s="1" t="s">
        <v>46</v>
      </c>
      <c r="I2890" t="s">
        <v>1617</v>
      </c>
      <c r="J2890" t="s">
        <v>1561</v>
      </c>
      <c r="K2890" t="s">
        <v>1184</v>
      </c>
      <c r="L2890" t="s">
        <v>1541</v>
      </c>
      <c r="M2890">
        <v>900108</v>
      </c>
    </row>
    <row r="2891" spans="1:13" ht="15">
      <c r="A2891" s="4">
        <v>201402</v>
      </c>
      <c r="B2891" t="s">
        <v>1559</v>
      </c>
      <c r="C2891" s="5">
        <v>6538228</v>
      </c>
      <c r="D2891" s="2" t="s">
        <v>1624</v>
      </c>
      <c r="E2891" s="2" t="s">
        <v>15</v>
      </c>
      <c r="F2891" s="3">
        <v>624.22</v>
      </c>
      <c r="G2891" t="s">
        <v>47</v>
      </c>
      <c r="H2891" s="1" t="s">
        <v>46</v>
      </c>
      <c r="I2891" t="s">
        <v>1623</v>
      </c>
      <c r="J2891" t="s">
        <v>1561</v>
      </c>
      <c r="K2891" t="s">
        <v>1184</v>
      </c>
      <c r="L2891" t="s">
        <v>1541</v>
      </c>
      <c r="M2891">
        <v>899533</v>
      </c>
    </row>
    <row r="2892" spans="1:13" ht="15">
      <c r="A2892" s="4">
        <v>201403</v>
      </c>
      <c r="B2892" t="s">
        <v>1559</v>
      </c>
      <c r="C2892" s="5">
        <v>6538228</v>
      </c>
      <c r="D2892" s="2" t="s">
        <v>1624</v>
      </c>
      <c r="E2892" s="2" t="s">
        <v>15</v>
      </c>
      <c r="F2892" s="3">
        <v>556.23</v>
      </c>
      <c r="G2892" t="s">
        <v>47</v>
      </c>
      <c r="H2892" s="1" t="s">
        <v>46</v>
      </c>
      <c r="I2892" t="s">
        <v>1617</v>
      </c>
      <c r="J2892" t="s">
        <v>1561</v>
      </c>
      <c r="K2892" t="s">
        <v>1184</v>
      </c>
      <c r="L2892" t="s">
        <v>1541</v>
      </c>
      <c r="M2892">
        <v>900108</v>
      </c>
    </row>
    <row r="2893" spans="1:13" ht="15">
      <c r="A2893" s="4">
        <v>201403</v>
      </c>
      <c r="B2893" t="s">
        <v>1559</v>
      </c>
      <c r="C2893" s="5">
        <v>6538230</v>
      </c>
      <c r="D2893" s="2" t="s">
        <v>1625</v>
      </c>
      <c r="E2893" s="2" t="s">
        <v>15</v>
      </c>
      <c r="F2893" s="3">
        <v>226.5</v>
      </c>
      <c r="G2893" t="s">
        <v>47</v>
      </c>
      <c r="H2893" s="1" t="s">
        <v>46</v>
      </c>
      <c r="I2893" t="s">
        <v>1567</v>
      </c>
      <c r="J2893" t="s">
        <v>1561</v>
      </c>
      <c r="K2893" t="s">
        <v>1184</v>
      </c>
      <c r="L2893" t="s">
        <v>1541</v>
      </c>
      <c r="M2893">
        <v>900623</v>
      </c>
    </row>
    <row r="2894" spans="1:13" ht="15">
      <c r="A2894" s="4">
        <v>201403</v>
      </c>
      <c r="B2894" t="s">
        <v>1559</v>
      </c>
      <c r="C2894" s="5">
        <v>6538230</v>
      </c>
      <c r="D2894" s="2" t="s">
        <v>1625</v>
      </c>
      <c r="E2894" s="2" t="s">
        <v>15</v>
      </c>
      <c r="F2894" s="3">
        <v>589.99</v>
      </c>
      <c r="G2894" t="s">
        <v>47</v>
      </c>
      <c r="H2894" s="1" t="s">
        <v>46</v>
      </c>
      <c r="I2894" t="s">
        <v>1617</v>
      </c>
      <c r="J2894" t="s">
        <v>1561</v>
      </c>
      <c r="K2894" t="s">
        <v>1184</v>
      </c>
      <c r="L2894" t="s">
        <v>1541</v>
      </c>
      <c r="M2894">
        <v>900108</v>
      </c>
    </row>
    <row r="2895" spans="1:13" ht="15">
      <c r="A2895" s="4">
        <v>201403</v>
      </c>
      <c r="B2895" t="s">
        <v>1559</v>
      </c>
      <c r="C2895" s="5">
        <v>6538231</v>
      </c>
      <c r="D2895" s="2" t="s">
        <v>1626</v>
      </c>
      <c r="E2895" s="2" t="s">
        <v>15</v>
      </c>
      <c r="F2895" s="3">
        <v>226.5</v>
      </c>
      <c r="G2895" t="s">
        <v>47</v>
      </c>
      <c r="H2895" s="1" t="s">
        <v>46</v>
      </c>
      <c r="I2895" t="s">
        <v>1567</v>
      </c>
      <c r="J2895" t="s">
        <v>1561</v>
      </c>
      <c r="K2895" t="s">
        <v>1184</v>
      </c>
      <c r="L2895" t="s">
        <v>1541</v>
      </c>
      <c r="M2895">
        <v>900623</v>
      </c>
    </row>
    <row r="2896" spans="1:13" ht="15">
      <c r="A2896" s="4">
        <v>201403</v>
      </c>
      <c r="B2896" t="s">
        <v>1559</v>
      </c>
      <c r="C2896" s="5">
        <v>6538234</v>
      </c>
      <c r="D2896" s="2" t="s">
        <v>1627</v>
      </c>
      <c r="E2896" s="2" t="s">
        <v>15</v>
      </c>
      <c r="F2896" s="3">
        <v>1866.71</v>
      </c>
      <c r="G2896" t="s">
        <v>47</v>
      </c>
      <c r="H2896" s="1" t="s">
        <v>46</v>
      </c>
      <c r="I2896" t="s">
        <v>1617</v>
      </c>
      <c r="J2896" t="s">
        <v>1561</v>
      </c>
      <c r="K2896" t="s">
        <v>1184</v>
      </c>
      <c r="L2896" t="s">
        <v>1541</v>
      </c>
      <c r="M2896">
        <v>900108</v>
      </c>
    </row>
    <row r="2897" spans="1:13" ht="15">
      <c r="A2897" s="4">
        <v>201403</v>
      </c>
      <c r="B2897" t="s">
        <v>1559</v>
      </c>
      <c r="C2897" s="5">
        <v>6538234</v>
      </c>
      <c r="D2897" s="2" t="s">
        <v>1627</v>
      </c>
      <c r="E2897" s="2" t="s">
        <v>15</v>
      </c>
      <c r="F2897" s="3">
        <v>3398.32</v>
      </c>
      <c r="G2897" t="s">
        <v>47</v>
      </c>
      <c r="H2897" s="1" t="s">
        <v>46</v>
      </c>
      <c r="I2897" t="s">
        <v>1569</v>
      </c>
      <c r="J2897" t="s">
        <v>1561</v>
      </c>
      <c r="K2897" t="s">
        <v>1184</v>
      </c>
      <c r="L2897" t="s">
        <v>1541</v>
      </c>
      <c r="M2897">
        <v>901927</v>
      </c>
    </row>
    <row r="2898" spans="1:13" ht="15">
      <c r="A2898" s="4">
        <v>201404</v>
      </c>
      <c r="B2898" t="s">
        <v>1559</v>
      </c>
      <c r="C2898" s="5">
        <v>6538234</v>
      </c>
      <c r="D2898" s="2" t="s">
        <v>1627</v>
      </c>
      <c r="E2898" s="2" t="s">
        <v>15</v>
      </c>
      <c r="F2898" s="3">
        <v>-33.98</v>
      </c>
      <c r="G2898" t="s">
        <v>47</v>
      </c>
      <c r="H2898" s="1" t="s">
        <v>46</v>
      </c>
      <c r="I2898" t="s">
        <v>1569</v>
      </c>
      <c r="J2898" t="s">
        <v>1561</v>
      </c>
      <c r="K2898" t="s">
        <v>1184</v>
      </c>
      <c r="L2898" t="s">
        <v>1541</v>
      </c>
      <c r="M2898">
        <v>901927</v>
      </c>
    </row>
    <row r="2899" spans="1:13" ht="15">
      <c r="A2899" s="4">
        <v>201404</v>
      </c>
      <c r="B2899" t="s">
        <v>1559</v>
      </c>
      <c r="C2899" s="5">
        <v>6538234</v>
      </c>
      <c r="D2899" s="2" t="s">
        <v>1627</v>
      </c>
      <c r="E2899" s="2" t="s">
        <v>15</v>
      </c>
      <c r="F2899" s="3">
        <v>4065.16</v>
      </c>
      <c r="G2899" t="s">
        <v>47</v>
      </c>
      <c r="H2899" s="1" t="s">
        <v>46</v>
      </c>
      <c r="I2899" t="s">
        <v>1609</v>
      </c>
      <c r="J2899" t="s">
        <v>1561</v>
      </c>
      <c r="K2899" t="s">
        <v>1184</v>
      </c>
      <c r="L2899" t="s">
        <v>1541</v>
      </c>
      <c r="M2899">
        <v>902824</v>
      </c>
    </row>
    <row r="2900" spans="1:13" ht="15">
      <c r="A2900" s="4">
        <v>201404</v>
      </c>
      <c r="B2900" t="s">
        <v>1559</v>
      </c>
      <c r="C2900" s="5">
        <v>6554748</v>
      </c>
      <c r="D2900" s="2" t="s">
        <v>1628</v>
      </c>
      <c r="E2900" s="2" t="s">
        <v>15</v>
      </c>
      <c r="F2900" s="3">
        <v>1439.72</v>
      </c>
      <c r="G2900" t="s">
        <v>47</v>
      </c>
      <c r="H2900" s="1" t="s">
        <v>46</v>
      </c>
      <c r="I2900" t="s">
        <v>48</v>
      </c>
      <c r="J2900" t="s">
        <v>1561</v>
      </c>
      <c r="K2900" t="s">
        <v>1184</v>
      </c>
      <c r="L2900" t="s">
        <v>1541</v>
      </c>
      <c r="M2900">
        <v>904363</v>
      </c>
    </row>
    <row r="2901" spans="1:13" ht="15">
      <c r="A2901" s="4">
        <v>201405</v>
      </c>
      <c r="B2901" t="s">
        <v>1559</v>
      </c>
      <c r="C2901" s="5">
        <v>6554748</v>
      </c>
      <c r="D2901" s="2" t="s">
        <v>1628</v>
      </c>
      <c r="E2901" s="2" t="s">
        <v>15</v>
      </c>
      <c r="F2901" s="3">
        <v>1225.75</v>
      </c>
      <c r="G2901" t="s">
        <v>47</v>
      </c>
      <c r="H2901" s="1" t="s">
        <v>46</v>
      </c>
      <c r="I2901" t="s">
        <v>54</v>
      </c>
      <c r="J2901" t="s">
        <v>1561</v>
      </c>
      <c r="K2901" t="s">
        <v>1184</v>
      </c>
      <c r="L2901" t="s">
        <v>1541</v>
      </c>
      <c r="M2901">
        <v>905365</v>
      </c>
    </row>
    <row r="2902" spans="1:12" ht="15">
      <c r="A2902" s="4">
        <v>201405</v>
      </c>
      <c r="B2902" t="s">
        <v>1559</v>
      </c>
      <c r="C2902" s="5">
        <v>6554748</v>
      </c>
      <c r="D2902" s="2" t="s">
        <v>1628</v>
      </c>
      <c r="E2902" s="2" t="s">
        <v>15</v>
      </c>
      <c r="F2902" s="3">
        <v>1.89</v>
      </c>
      <c r="H2902" s="1" t="s">
        <v>66</v>
      </c>
      <c r="I2902" t="s">
        <v>67</v>
      </c>
      <c r="J2902" t="s">
        <v>1561</v>
      </c>
      <c r="K2902" t="s">
        <v>1184</v>
      </c>
      <c r="L2902" t="s">
        <v>1541</v>
      </c>
    </row>
    <row r="2903" spans="1:12" ht="15">
      <c r="A2903" s="4">
        <v>201407</v>
      </c>
      <c r="B2903" t="s">
        <v>1559</v>
      </c>
      <c r="C2903" s="5">
        <v>6591718</v>
      </c>
      <c r="D2903" s="2" t="s">
        <v>1629</v>
      </c>
      <c r="E2903" s="2" t="s">
        <v>1237</v>
      </c>
      <c r="F2903" s="3">
        <v>0.88</v>
      </c>
      <c r="H2903" s="1" t="s">
        <v>66</v>
      </c>
      <c r="I2903" t="s">
        <v>67</v>
      </c>
      <c r="J2903" t="s">
        <v>1561</v>
      </c>
      <c r="K2903" t="s">
        <v>1184</v>
      </c>
      <c r="L2903" t="s">
        <v>1541</v>
      </c>
    </row>
    <row r="2904" spans="1:13" ht="15">
      <c r="A2904" s="4">
        <v>201408</v>
      </c>
      <c r="B2904" t="s">
        <v>1559</v>
      </c>
      <c r="C2904" s="5">
        <v>6591922</v>
      </c>
      <c r="D2904" s="2" t="s">
        <v>1631</v>
      </c>
      <c r="E2904" s="2" t="s">
        <v>1237</v>
      </c>
      <c r="F2904" s="3">
        <v>658.77</v>
      </c>
      <c r="G2904" t="s">
        <v>47</v>
      </c>
      <c r="H2904" s="1" t="s">
        <v>46</v>
      </c>
      <c r="I2904" t="s">
        <v>1630</v>
      </c>
      <c r="J2904" t="s">
        <v>1561</v>
      </c>
      <c r="K2904" t="s">
        <v>1184</v>
      </c>
      <c r="L2904" t="s">
        <v>1541</v>
      </c>
      <c r="M2904">
        <v>910534</v>
      </c>
    </row>
    <row r="2905" spans="1:12" ht="15">
      <c r="A2905" s="4">
        <v>201407</v>
      </c>
      <c r="B2905" t="s">
        <v>1559</v>
      </c>
      <c r="C2905" s="5">
        <v>6591922</v>
      </c>
      <c r="D2905" s="2" t="s">
        <v>1631</v>
      </c>
      <c r="E2905" s="2" t="s">
        <v>1237</v>
      </c>
      <c r="F2905" s="3">
        <v>0.36</v>
      </c>
      <c r="H2905" s="1" t="s">
        <v>66</v>
      </c>
      <c r="I2905" t="s">
        <v>67</v>
      </c>
      <c r="J2905" t="s">
        <v>1561</v>
      </c>
      <c r="K2905" t="s">
        <v>1184</v>
      </c>
      <c r="L2905" t="s">
        <v>1541</v>
      </c>
    </row>
    <row r="2906" spans="1:12" ht="15">
      <c r="A2906" s="4">
        <v>201408</v>
      </c>
      <c r="B2906" t="s">
        <v>1559</v>
      </c>
      <c r="C2906" s="5">
        <v>6591922</v>
      </c>
      <c r="D2906" s="2" t="s">
        <v>1631</v>
      </c>
      <c r="E2906" s="2" t="s">
        <v>1237</v>
      </c>
      <c r="F2906" s="3">
        <v>0</v>
      </c>
      <c r="H2906" s="1" t="s">
        <v>66</v>
      </c>
      <c r="I2906" t="s">
        <v>67</v>
      </c>
      <c r="J2906" t="s">
        <v>1561</v>
      </c>
      <c r="K2906" t="s">
        <v>1184</v>
      </c>
      <c r="L2906" t="s">
        <v>1541</v>
      </c>
    </row>
    <row r="2907" spans="1:12" ht="15">
      <c r="A2907" s="4">
        <v>201407</v>
      </c>
      <c r="B2907" t="s">
        <v>1559</v>
      </c>
      <c r="C2907" s="5">
        <v>6591922</v>
      </c>
      <c r="D2907" s="2" t="s">
        <v>1631</v>
      </c>
      <c r="E2907" s="2" t="s">
        <v>1237</v>
      </c>
      <c r="F2907" s="3">
        <v>0</v>
      </c>
      <c r="H2907" s="1" t="s">
        <v>68</v>
      </c>
      <c r="J2907" t="s">
        <v>1561</v>
      </c>
      <c r="K2907" t="s">
        <v>1184</v>
      </c>
      <c r="L2907" t="s">
        <v>1541</v>
      </c>
    </row>
    <row r="2908" spans="1:12" ht="15">
      <c r="A2908" s="4">
        <v>201407</v>
      </c>
      <c r="B2908" t="s">
        <v>1559</v>
      </c>
      <c r="C2908" s="5">
        <v>6591922</v>
      </c>
      <c r="D2908" s="2" t="s">
        <v>1631</v>
      </c>
      <c r="E2908" s="2" t="s">
        <v>1237</v>
      </c>
      <c r="F2908" s="3">
        <v>6</v>
      </c>
      <c r="H2908" s="1" t="s">
        <v>68</v>
      </c>
      <c r="J2908" t="s">
        <v>1561</v>
      </c>
      <c r="K2908" t="s">
        <v>1184</v>
      </c>
      <c r="L2908" t="s">
        <v>1541</v>
      </c>
    </row>
    <row r="2909" spans="1:12" ht="15">
      <c r="A2909" s="4">
        <v>201407</v>
      </c>
      <c r="B2909" t="s">
        <v>1632</v>
      </c>
      <c r="C2909" s="5">
        <v>6585902</v>
      </c>
      <c r="D2909" s="2" t="s">
        <v>1634</v>
      </c>
      <c r="E2909" s="2" t="s">
        <v>261</v>
      </c>
      <c r="F2909" s="3">
        <v>1.56</v>
      </c>
      <c r="H2909" s="1" t="s">
        <v>66</v>
      </c>
      <c r="I2909" t="s">
        <v>67</v>
      </c>
      <c r="J2909" t="s">
        <v>1633</v>
      </c>
      <c r="K2909" t="s">
        <v>197</v>
      </c>
      <c r="L2909" t="s">
        <v>1536</v>
      </c>
    </row>
    <row r="2910" spans="1:12" ht="15">
      <c r="A2910" s="4">
        <v>201409</v>
      </c>
      <c r="B2910" t="s">
        <v>1632</v>
      </c>
      <c r="C2910" s="5">
        <v>6608226</v>
      </c>
      <c r="D2910" s="2" t="s">
        <v>1635</v>
      </c>
      <c r="E2910" s="2" t="s">
        <v>99</v>
      </c>
      <c r="F2910" s="3">
        <v>0.13</v>
      </c>
      <c r="H2910" s="1" t="s">
        <v>66</v>
      </c>
      <c r="I2910" t="s">
        <v>67</v>
      </c>
      <c r="J2910" t="s">
        <v>1633</v>
      </c>
      <c r="K2910" t="s">
        <v>197</v>
      </c>
      <c r="L2910" t="s">
        <v>1536</v>
      </c>
    </row>
    <row r="2911" spans="1:12" ht="15">
      <c r="A2911" s="4">
        <v>201410</v>
      </c>
      <c r="B2911" t="s">
        <v>1632</v>
      </c>
      <c r="C2911" s="5">
        <v>6608226</v>
      </c>
      <c r="D2911" s="2" t="s">
        <v>1635</v>
      </c>
      <c r="E2911" s="2" t="s">
        <v>99</v>
      </c>
      <c r="F2911" s="3">
        <v>0.28</v>
      </c>
      <c r="H2911" s="1" t="s">
        <v>66</v>
      </c>
      <c r="I2911" t="s">
        <v>67</v>
      </c>
      <c r="J2911" t="s">
        <v>1633</v>
      </c>
      <c r="K2911" t="s">
        <v>197</v>
      </c>
      <c r="L2911" t="s">
        <v>1536</v>
      </c>
    </row>
    <row r="2912" spans="1:13" ht="15">
      <c r="A2912" s="4">
        <v>201403</v>
      </c>
      <c r="B2912" t="s">
        <v>1636</v>
      </c>
      <c r="C2912" s="5">
        <v>6422571</v>
      </c>
      <c r="D2912" s="2" t="s">
        <v>1641</v>
      </c>
      <c r="E2912" s="2" t="s">
        <v>1464</v>
      </c>
      <c r="F2912" s="3">
        <v>5455</v>
      </c>
      <c r="G2912" t="s">
        <v>1637</v>
      </c>
      <c r="H2912" s="1" t="s">
        <v>44</v>
      </c>
      <c r="I2912" t="s">
        <v>1638</v>
      </c>
      <c r="J2912" t="s">
        <v>1639</v>
      </c>
      <c r="K2912" t="s">
        <v>197</v>
      </c>
      <c r="L2912" t="s">
        <v>1640</v>
      </c>
      <c r="M2912">
        <v>879107</v>
      </c>
    </row>
    <row r="2913" spans="1:13" ht="15">
      <c r="A2913" s="4">
        <v>201403</v>
      </c>
      <c r="B2913" t="s">
        <v>1636</v>
      </c>
      <c r="C2913" s="5">
        <v>6422572</v>
      </c>
      <c r="D2913" s="2" t="s">
        <v>1643</v>
      </c>
      <c r="E2913" s="2" t="s">
        <v>1464</v>
      </c>
      <c r="F2913" s="3">
        <v>27275</v>
      </c>
      <c r="G2913" t="s">
        <v>1637</v>
      </c>
      <c r="H2913" s="1" t="s">
        <v>44</v>
      </c>
      <c r="I2913" t="s">
        <v>1642</v>
      </c>
      <c r="J2913" t="s">
        <v>1639</v>
      </c>
      <c r="K2913" t="s">
        <v>197</v>
      </c>
      <c r="L2913" t="s">
        <v>1640</v>
      </c>
      <c r="M2913">
        <v>879107</v>
      </c>
    </row>
    <row r="2914" spans="1:13" ht="15">
      <c r="A2914" s="4">
        <v>201405</v>
      </c>
      <c r="B2914" t="s">
        <v>1636</v>
      </c>
      <c r="C2914" s="5">
        <v>6489828</v>
      </c>
      <c r="D2914" s="2" t="s">
        <v>70</v>
      </c>
      <c r="E2914" s="2" t="s">
        <v>15</v>
      </c>
      <c r="F2914" s="3">
        <v>180.14</v>
      </c>
      <c r="G2914" t="s">
        <v>73</v>
      </c>
      <c r="H2914" s="1" t="s">
        <v>46</v>
      </c>
      <c r="I2914" t="s">
        <v>95</v>
      </c>
      <c r="J2914" t="s">
        <v>1639</v>
      </c>
      <c r="K2914" t="s">
        <v>197</v>
      </c>
      <c r="L2914" t="s">
        <v>1640</v>
      </c>
      <c r="M2914">
        <v>904872</v>
      </c>
    </row>
    <row r="2915" spans="1:12" ht="15">
      <c r="A2915" s="4">
        <v>201406</v>
      </c>
      <c r="B2915" t="s">
        <v>1636</v>
      </c>
      <c r="C2915" s="5">
        <v>6489840</v>
      </c>
      <c r="D2915" s="2" t="s">
        <v>1644</v>
      </c>
      <c r="E2915" s="2" t="s">
        <v>15</v>
      </c>
      <c r="F2915" s="3">
        <v>47.75</v>
      </c>
      <c r="H2915" s="1" t="s">
        <v>14</v>
      </c>
      <c r="I2915" t="s">
        <v>674</v>
      </c>
      <c r="J2915" t="s">
        <v>1639</v>
      </c>
      <c r="K2915" t="s">
        <v>197</v>
      </c>
      <c r="L2915" t="s">
        <v>1640</v>
      </c>
    </row>
    <row r="2916" spans="1:13" ht="15">
      <c r="A2916" s="4">
        <v>201407</v>
      </c>
      <c r="B2916" t="s">
        <v>1636</v>
      </c>
      <c r="C2916" s="5">
        <v>6511593</v>
      </c>
      <c r="D2916" s="2" t="s">
        <v>429</v>
      </c>
      <c r="E2916" s="2" t="s">
        <v>15</v>
      </c>
      <c r="F2916" s="3">
        <v>3800</v>
      </c>
      <c r="G2916" t="s">
        <v>45</v>
      </c>
      <c r="H2916" s="1" t="s">
        <v>44</v>
      </c>
      <c r="I2916" t="e">
        <f>-labor-installation of air TUBING at TC2 Ammonia pump Skid</f>
        <v>#NAME?</v>
      </c>
      <c r="J2916" t="s">
        <v>1639</v>
      </c>
      <c r="K2916" t="s">
        <v>197</v>
      </c>
      <c r="L2916" t="s">
        <v>1640</v>
      </c>
      <c r="M2916">
        <v>903665</v>
      </c>
    </row>
    <row r="2917" spans="1:14" ht="15">
      <c r="A2917" s="4">
        <v>201403</v>
      </c>
      <c r="B2917" t="s">
        <v>1636</v>
      </c>
      <c r="C2917" s="5">
        <v>6552593</v>
      </c>
      <c r="D2917" s="2" t="s">
        <v>1645</v>
      </c>
      <c r="E2917" s="2" t="s">
        <v>15</v>
      </c>
      <c r="F2917" s="3">
        <v>2.72</v>
      </c>
      <c r="G2917" t="s">
        <v>57</v>
      </c>
      <c r="H2917" s="1" t="s">
        <v>60</v>
      </c>
      <c r="I2917">
        <f>-70098/41505/1</f>
        <v>-1.6889049512106975</v>
      </c>
      <c r="J2917" t="s">
        <v>1639</v>
      </c>
      <c r="K2917" t="s">
        <v>197</v>
      </c>
      <c r="L2917" t="s">
        <v>1640</v>
      </c>
      <c r="N2917" t="s">
        <v>58</v>
      </c>
    </row>
    <row r="2918" spans="1:14" ht="15">
      <c r="A2918" s="4">
        <v>201403</v>
      </c>
      <c r="B2918" t="s">
        <v>1636</v>
      </c>
      <c r="C2918" s="5">
        <v>6552593</v>
      </c>
      <c r="D2918" s="2" t="s">
        <v>1645</v>
      </c>
      <c r="E2918" s="2" t="s">
        <v>15</v>
      </c>
      <c r="F2918" s="3">
        <v>44.7</v>
      </c>
      <c r="G2918" t="s">
        <v>57</v>
      </c>
      <c r="H2918" s="1" t="s">
        <v>60</v>
      </c>
      <c r="I2918">
        <f>-70098/41436/1</f>
        <v>-1.691717347234289</v>
      </c>
      <c r="J2918" t="s">
        <v>1639</v>
      </c>
      <c r="K2918" t="s">
        <v>197</v>
      </c>
      <c r="L2918" t="s">
        <v>1640</v>
      </c>
      <c r="N2918" t="s">
        <v>58</v>
      </c>
    </row>
    <row r="2919" spans="1:13" ht="15">
      <c r="A2919" s="4">
        <v>201403</v>
      </c>
      <c r="B2919" t="s">
        <v>1636</v>
      </c>
      <c r="C2919" s="5">
        <v>6552593</v>
      </c>
      <c r="D2919" s="2" t="s">
        <v>1645</v>
      </c>
      <c r="E2919" s="2" t="s">
        <v>15</v>
      </c>
      <c r="F2919" s="3">
        <v>45.3</v>
      </c>
      <c r="G2919" t="s">
        <v>257</v>
      </c>
      <c r="H2919" s="1" t="s">
        <v>60</v>
      </c>
      <c r="I2919" t="s">
        <v>1646</v>
      </c>
      <c r="J2919" t="s">
        <v>1639</v>
      </c>
      <c r="K2919" t="s">
        <v>197</v>
      </c>
      <c r="L2919" t="s">
        <v>1640</v>
      </c>
      <c r="M2919">
        <v>901510</v>
      </c>
    </row>
    <row r="2920" spans="1:13" ht="15">
      <c r="A2920" s="4">
        <v>201403</v>
      </c>
      <c r="B2920" t="s">
        <v>1636</v>
      </c>
      <c r="C2920" s="5">
        <v>6552593</v>
      </c>
      <c r="D2920" s="2" t="s">
        <v>1645</v>
      </c>
      <c r="E2920" s="2" t="s">
        <v>15</v>
      </c>
      <c r="F2920" s="3">
        <v>745</v>
      </c>
      <c r="G2920" t="s">
        <v>257</v>
      </c>
      <c r="H2920" s="1" t="s">
        <v>60</v>
      </c>
      <c r="I2920" t="s">
        <v>1647</v>
      </c>
      <c r="J2920" t="s">
        <v>1639</v>
      </c>
      <c r="K2920" t="s">
        <v>197</v>
      </c>
      <c r="L2920" t="s">
        <v>1640</v>
      </c>
      <c r="M2920">
        <v>901510</v>
      </c>
    </row>
    <row r="2921" spans="1:12" ht="15">
      <c r="A2921" s="4">
        <v>201403</v>
      </c>
      <c r="B2921" t="s">
        <v>1636</v>
      </c>
      <c r="C2921" s="5">
        <v>6552593</v>
      </c>
      <c r="D2921" s="2" t="s">
        <v>1645</v>
      </c>
      <c r="E2921" s="2" t="s">
        <v>15</v>
      </c>
      <c r="F2921" s="3">
        <v>4415.12</v>
      </c>
      <c r="H2921" s="1" t="s">
        <v>60</v>
      </c>
      <c r="I2921" t="s">
        <v>1648</v>
      </c>
      <c r="J2921" t="s">
        <v>1639</v>
      </c>
      <c r="K2921" t="s">
        <v>197</v>
      </c>
      <c r="L2921" t="s">
        <v>1640</v>
      </c>
    </row>
    <row r="2922" spans="1:12" ht="15">
      <c r="A2922" s="4">
        <v>201404</v>
      </c>
      <c r="B2922" t="s">
        <v>1636</v>
      </c>
      <c r="C2922" s="5">
        <v>6552593</v>
      </c>
      <c r="D2922" s="2" t="s">
        <v>1645</v>
      </c>
      <c r="E2922" s="2" t="s">
        <v>15</v>
      </c>
      <c r="F2922" s="3">
        <v>-4415.12</v>
      </c>
      <c r="H2922" s="1" t="s">
        <v>60</v>
      </c>
      <c r="I2922" t="s">
        <v>1648</v>
      </c>
      <c r="J2922" t="s">
        <v>1639</v>
      </c>
      <c r="K2922" t="s">
        <v>197</v>
      </c>
      <c r="L2922" t="s">
        <v>1640</v>
      </c>
    </row>
    <row r="2923" spans="1:14" ht="15">
      <c r="A2923" s="4">
        <v>201404</v>
      </c>
      <c r="B2923" t="s">
        <v>1636</v>
      </c>
      <c r="C2923" s="5">
        <v>6552593</v>
      </c>
      <c r="D2923" s="2" t="s">
        <v>1645</v>
      </c>
      <c r="E2923" s="2" t="s">
        <v>15</v>
      </c>
      <c r="F2923" s="3">
        <v>264.91</v>
      </c>
      <c r="G2923" t="s">
        <v>57</v>
      </c>
      <c r="H2923" s="1" t="s">
        <v>60</v>
      </c>
      <c r="I2923">
        <f>-24269/402927/1</f>
        <v>-0.060231754139087226</v>
      </c>
      <c r="J2923" t="s">
        <v>1639</v>
      </c>
      <c r="K2923" t="s">
        <v>197</v>
      </c>
      <c r="L2923" t="s">
        <v>1640</v>
      </c>
      <c r="N2923" t="s">
        <v>58</v>
      </c>
    </row>
    <row r="2924" spans="1:13" ht="15">
      <c r="A2924" s="4">
        <v>201404</v>
      </c>
      <c r="B2924" t="s">
        <v>1636</v>
      </c>
      <c r="C2924" s="5">
        <v>6552593</v>
      </c>
      <c r="D2924" s="2" t="s">
        <v>1645</v>
      </c>
      <c r="E2924" s="2" t="s">
        <v>15</v>
      </c>
      <c r="F2924" s="3">
        <v>4415.12</v>
      </c>
      <c r="G2924" t="s">
        <v>1649</v>
      </c>
      <c r="H2924" s="1" t="s">
        <v>60</v>
      </c>
      <c r="I2924" t="e">
        <f>-A3149mg</f>
        <v>#NAME?</v>
      </c>
      <c r="J2924" t="s">
        <v>1639</v>
      </c>
      <c r="K2924" t="s">
        <v>197</v>
      </c>
      <c r="L2924" t="s">
        <v>1640</v>
      </c>
      <c r="M2924">
        <v>901463</v>
      </c>
    </row>
    <row r="2925" spans="1:14" ht="15">
      <c r="A2925" s="4">
        <v>201405</v>
      </c>
      <c r="B2925" t="s">
        <v>1636</v>
      </c>
      <c r="C2925" s="5">
        <v>6552593</v>
      </c>
      <c r="D2925" s="2" t="s">
        <v>1645</v>
      </c>
      <c r="E2925" s="2" t="s">
        <v>15</v>
      </c>
      <c r="F2925" s="3">
        <v>128.4</v>
      </c>
      <c r="G2925" t="s">
        <v>57</v>
      </c>
      <c r="H2925" s="1" t="s">
        <v>60</v>
      </c>
      <c r="I2925">
        <f>-24269/40292701/1</f>
        <v>-0.0006023175264423202</v>
      </c>
      <c r="J2925" t="s">
        <v>1639</v>
      </c>
      <c r="K2925" t="s">
        <v>197</v>
      </c>
      <c r="L2925" t="s">
        <v>1640</v>
      </c>
      <c r="N2925" t="s">
        <v>58</v>
      </c>
    </row>
    <row r="2926" spans="1:13" ht="15">
      <c r="A2926" s="4">
        <v>201405</v>
      </c>
      <c r="B2926" t="s">
        <v>1636</v>
      </c>
      <c r="C2926" s="5">
        <v>6552593</v>
      </c>
      <c r="D2926" s="2" t="s">
        <v>1645</v>
      </c>
      <c r="E2926" s="2" t="s">
        <v>15</v>
      </c>
      <c r="F2926" s="3">
        <v>2140</v>
      </c>
      <c r="G2926" t="s">
        <v>1649</v>
      </c>
      <c r="H2926" s="1" t="s">
        <v>60</v>
      </c>
      <c r="I2926" t="e">
        <f>-Rego SS8022L</f>
        <v>#NAME?</v>
      </c>
      <c r="J2926" t="s">
        <v>1639</v>
      </c>
      <c r="K2926" t="s">
        <v>197</v>
      </c>
      <c r="L2926" t="s">
        <v>1640</v>
      </c>
      <c r="M2926">
        <v>901463</v>
      </c>
    </row>
    <row r="2927" spans="1:12" ht="15">
      <c r="A2927" s="4">
        <v>201405</v>
      </c>
      <c r="B2927" t="s">
        <v>1636</v>
      </c>
      <c r="C2927" s="5">
        <v>6552593</v>
      </c>
      <c r="D2927" s="2" t="s">
        <v>1645</v>
      </c>
      <c r="E2927" s="2" t="s">
        <v>15</v>
      </c>
      <c r="F2927" s="3">
        <v>3.18</v>
      </c>
      <c r="H2927" s="1" t="s">
        <v>66</v>
      </c>
      <c r="I2927" t="s">
        <v>67</v>
      </c>
      <c r="J2927" t="s">
        <v>1639</v>
      </c>
      <c r="K2927" t="s">
        <v>197</v>
      </c>
      <c r="L2927" t="s">
        <v>1640</v>
      </c>
    </row>
    <row r="2928" spans="1:12" ht="15">
      <c r="A2928" s="4">
        <v>201405</v>
      </c>
      <c r="B2928" t="s">
        <v>1636</v>
      </c>
      <c r="C2928" s="5">
        <v>6552593</v>
      </c>
      <c r="D2928" s="2" t="s">
        <v>1645</v>
      </c>
      <c r="E2928" s="2" t="s">
        <v>15</v>
      </c>
      <c r="F2928" s="3">
        <v>0</v>
      </c>
      <c r="H2928" s="1" t="s">
        <v>68</v>
      </c>
      <c r="J2928" t="s">
        <v>1639</v>
      </c>
      <c r="K2928" t="s">
        <v>197</v>
      </c>
      <c r="L2928" t="s">
        <v>1640</v>
      </c>
    </row>
    <row r="2929" spans="1:12" ht="15">
      <c r="A2929" s="4">
        <v>201405</v>
      </c>
      <c r="B2929" t="s">
        <v>1636</v>
      </c>
      <c r="C2929" s="5">
        <v>6552593</v>
      </c>
      <c r="D2929" s="2" t="s">
        <v>1645</v>
      </c>
      <c r="E2929" s="2" t="s">
        <v>15</v>
      </c>
      <c r="F2929" s="3">
        <v>6</v>
      </c>
      <c r="H2929" s="1" t="s">
        <v>68</v>
      </c>
      <c r="J2929" t="s">
        <v>1639</v>
      </c>
      <c r="K2929" t="s">
        <v>197</v>
      </c>
      <c r="L2929" t="s">
        <v>1640</v>
      </c>
    </row>
    <row r="2930" spans="1:14" ht="15">
      <c r="A2930" s="4">
        <v>201403</v>
      </c>
      <c r="B2930" t="s">
        <v>1636</v>
      </c>
      <c r="C2930" s="5">
        <v>6552593</v>
      </c>
      <c r="D2930" s="2" t="s">
        <v>1645</v>
      </c>
      <c r="E2930" s="2" t="s">
        <v>15</v>
      </c>
      <c r="F2930" s="3">
        <v>1.21</v>
      </c>
      <c r="G2930" t="s">
        <v>57</v>
      </c>
      <c r="H2930" s="1" t="s">
        <v>69</v>
      </c>
      <c r="I2930">
        <f>-70098/41505/1</f>
        <v>-1.6889049512106975</v>
      </c>
      <c r="J2930" t="s">
        <v>1639</v>
      </c>
      <c r="K2930" t="s">
        <v>197</v>
      </c>
      <c r="L2930" t="s">
        <v>1640</v>
      </c>
      <c r="N2930" t="s">
        <v>58</v>
      </c>
    </row>
    <row r="2931" spans="1:14" ht="15">
      <c r="A2931" s="4">
        <v>201403</v>
      </c>
      <c r="B2931" t="s">
        <v>1636</v>
      </c>
      <c r="C2931" s="5">
        <v>6552593</v>
      </c>
      <c r="D2931" s="2" t="s">
        <v>1645</v>
      </c>
      <c r="E2931" s="2" t="s">
        <v>15</v>
      </c>
      <c r="F2931" s="3">
        <v>1.52</v>
      </c>
      <c r="G2931" t="s">
        <v>57</v>
      </c>
      <c r="H2931" s="1" t="s">
        <v>69</v>
      </c>
      <c r="I2931">
        <f>-70098/41436/1</f>
        <v>-1.691717347234289</v>
      </c>
      <c r="J2931" t="s">
        <v>1639</v>
      </c>
      <c r="K2931" t="s">
        <v>197</v>
      </c>
      <c r="L2931" t="s">
        <v>1640</v>
      </c>
      <c r="N2931" t="s">
        <v>58</v>
      </c>
    </row>
    <row r="2932" spans="1:12" ht="15">
      <c r="A2932" s="4">
        <v>201403</v>
      </c>
      <c r="B2932" t="s">
        <v>1636</v>
      </c>
      <c r="C2932" s="5">
        <v>6552593</v>
      </c>
      <c r="D2932" s="2" t="s">
        <v>1645</v>
      </c>
      <c r="E2932" s="2" t="s">
        <v>15</v>
      </c>
      <c r="F2932" s="3">
        <v>20.2</v>
      </c>
      <c r="G2932" t="s">
        <v>257</v>
      </c>
      <c r="H2932" s="1" t="s">
        <v>69</v>
      </c>
      <c r="I2932" t="e">
        <f>-freight</f>
        <v>#NAME?</v>
      </c>
      <c r="J2932" t="s">
        <v>1639</v>
      </c>
      <c r="K2932" t="s">
        <v>197</v>
      </c>
      <c r="L2932" t="s">
        <v>1640</v>
      </c>
    </row>
    <row r="2933" spans="1:12" ht="15">
      <c r="A2933" s="4">
        <v>201403</v>
      </c>
      <c r="B2933" t="s">
        <v>1636</v>
      </c>
      <c r="C2933" s="5">
        <v>6552593</v>
      </c>
      <c r="D2933" s="2" t="s">
        <v>1645</v>
      </c>
      <c r="E2933" s="2" t="s">
        <v>15</v>
      </c>
      <c r="F2933" s="3">
        <v>25.32</v>
      </c>
      <c r="G2933" t="s">
        <v>257</v>
      </c>
      <c r="H2933" s="1" t="s">
        <v>69</v>
      </c>
      <c r="I2933" t="e">
        <f>-freight</f>
        <v>#NAME?</v>
      </c>
      <c r="J2933" t="s">
        <v>1639</v>
      </c>
      <c r="K2933" t="s">
        <v>197</v>
      </c>
      <c r="L2933" t="s">
        <v>1640</v>
      </c>
    </row>
    <row r="2934" spans="1:14" ht="15">
      <c r="A2934" s="4">
        <v>201405</v>
      </c>
      <c r="B2934" t="s">
        <v>1636</v>
      </c>
      <c r="C2934" s="5">
        <v>6570105</v>
      </c>
      <c r="D2934" s="2" t="s">
        <v>1650</v>
      </c>
      <c r="E2934" s="2" t="s">
        <v>15</v>
      </c>
      <c r="F2934" s="3">
        <v>34.56</v>
      </c>
      <c r="G2934" t="s">
        <v>57</v>
      </c>
      <c r="H2934" s="1" t="s">
        <v>60</v>
      </c>
      <c r="I2934">
        <f>-53199/11194/1</f>
        <v>-4.752456673217795</v>
      </c>
      <c r="J2934" t="s">
        <v>1639</v>
      </c>
      <c r="K2934" t="s">
        <v>197</v>
      </c>
      <c r="L2934" t="s">
        <v>1640</v>
      </c>
      <c r="N2934" t="s">
        <v>58</v>
      </c>
    </row>
    <row r="2935" spans="1:13" ht="15">
      <c r="A2935" s="4">
        <v>201405</v>
      </c>
      <c r="B2935" t="s">
        <v>1636</v>
      </c>
      <c r="C2935" s="5">
        <v>6570105</v>
      </c>
      <c r="D2935" s="2" t="s">
        <v>1650</v>
      </c>
      <c r="E2935" s="2" t="s">
        <v>15</v>
      </c>
      <c r="F2935" s="3">
        <v>576</v>
      </c>
      <c r="G2935" t="s">
        <v>1651</v>
      </c>
      <c r="H2935" s="1" t="s">
        <v>60</v>
      </c>
      <c r="I2935" t="s">
        <v>1652</v>
      </c>
      <c r="J2935" t="s">
        <v>1639</v>
      </c>
      <c r="K2935" t="s">
        <v>197</v>
      </c>
      <c r="L2935" t="s">
        <v>1640</v>
      </c>
      <c r="M2935">
        <v>905590</v>
      </c>
    </row>
    <row r="2936" spans="1:12" ht="15">
      <c r="A2936" s="4">
        <v>201405</v>
      </c>
      <c r="B2936" t="s">
        <v>1636</v>
      </c>
      <c r="C2936" s="5">
        <v>6570105</v>
      </c>
      <c r="D2936" s="2" t="s">
        <v>1650</v>
      </c>
      <c r="E2936" s="2" t="s">
        <v>15</v>
      </c>
      <c r="F2936" s="3">
        <v>0.6</v>
      </c>
      <c r="H2936" s="1" t="s">
        <v>66</v>
      </c>
      <c r="I2936" t="s">
        <v>67</v>
      </c>
      <c r="J2936" t="s">
        <v>1639</v>
      </c>
      <c r="K2936" t="s">
        <v>197</v>
      </c>
      <c r="L2936" t="s">
        <v>1640</v>
      </c>
    </row>
    <row r="2937" spans="1:14" ht="15">
      <c r="A2937" s="4">
        <v>201406</v>
      </c>
      <c r="B2937" t="s">
        <v>1636</v>
      </c>
      <c r="C2937" s="5">
        <v>6570105</v>
      </c>
      <c r="D2937" s="2" t="s">
        <v>1650</v>
      </c>
      <c r="E2937" s="2" t="s">
        <v>15</v>
      </c>
      <c r="F2937" s="3">
        <v>30.75</v>
      </c>
      <c r="G2937" t="s">
        <v>57</v>
      </c>
      <c r="H2937" s="1" t="s">
        <v>69</v>
      </c>
      <c r="I2937">
        <f>-65289/62446/1</f>
        <v>-1.045527335617974</v>
      </c>
      <c r="J2937" t="s">
        <v>1639</v>
      </c>
      <c r="K2937" t="s">
        <v>197</v>
      </c>
      <c r="L2937" t="s">
        <v>1640</v>
      </c>
      <c r="N2937" t="s">
        <v>58</v>
      </c>
    </row>
    <row r="2938" spans="1:12" ht="15">
      <c r="A2938" s="4">
        <v>201406</v>
      </c>
      <c r="B2938" t="s">
        <v>1636</v>
      </c>
      <c r="C2938" s="5">
        <v>6570105</v>
      </c>
      <c r="D2938" s="2" t="s">
        <v>1650</v>
      </c>
      <c r="E2938" s="2" t="s">
        <v>15</v>
      </c>
      <c r="F2938" s="3">
        <v>512.5</v>
      </c>
      <c r="G2938" t="s">
        <v>282</v>
      </c>
      <c r="H2938" s="1" t="s">
        <v>69</v>
      </c>
      <c r="I2938" t="e">
        <f>-freight FOR MATERIAL delivery</f>
        <v>#NAME?</v>
      </c>
      <c r="J2938" t="s">
        <v>1639</v>
      </c>
      <c r="K2938" t="s">
        <v>197</v>
      </c>
      <c r="L2938" t="s">
        <v>1640</v>
      </c>
    </row>
    <row r="2939" spans="1:13" ht="15">
      <c r="A2939" s="4">
        <v>201407</v>
      </c>
      <c r="B2939" t="s">
        <v>1636</v>
      </c>
      <c r="C2939" s="5">
        <v>6585709</v>
      </c>
      <c r="D2939" s="2" t="s">
        <v>1653</v>
      </c>
      <c r="E2939" s="2" t="s">
        <v>261</v>
      </c>
      <c r="F2939" s="3">
        <v>1286.7</v>
      </c>
      <c r="G2939" t="s">
        <v>47</v>
      </c>
      <c r="H2939" s="1" t="s">
        <v>46</v>
      </c>
      <c r="I2939" t="s">
        <v>1525</v>
      </c>
      <c r="J2939" t="s">
        <v>1639</v>
      </c>
      <c r="K2939" t="s">
        <v>197</v>
      </c>
      <c r="L2939" t="s">
        <v>1640</v>
      </c>
      <c r="M2939">
        <v>909515</v>
      </c>
    </row>
    <row r="2940" spans="1:12" ht="15">
      <c r="A2940" s="4">
        <v>201410</v>
      </c>
      <c r="B2940" t="s">
        <v>1654</v>
      </c>
      <c r="C2940" s="5">
        <v>6466181</v>
      </c>
      <c r="D2940" s="2" t="s">
        <v>1658</v>
      </c>
      <c r="E2940" s="2" t="s">
        <v>269</v>
      </c>
      <c r="F2940" s="3">
        <v>3.18</v>
      </c>
      <c r="H2940" s="1" t="s">
        <v>14</v>
      </c>
      <c r="I2940" t="s">
        <v>1655</v>
      </c>
      <c r="J2940" t="s">
        <v>1656</v>
      </c>
      <c r="K2940" t="s">
        <v>197</v>
      </c>
      <c r="L2940" t="s">
        <v>1657</v>
      </c>
    </row>
    <row r="2941" spans="1:12" ht="15">
      <c r="A2941" s="4">
        <v>201410</v>
      </c>
      <c r="B2941" t="s">
        <v>1654</v>
      </c>
      <c r="C2941" s="5">
        <v>6466181</v>
      </c>
      <c r="D2941" s="2" t="s">
        <v>1658</v>
      </c>
      <c r="E2941" s="2" t="s">
        <v>269</v>
      </c>
      <c r="F2941" s="3">
        <v>5.6</v>
      </c>
      <c r="H2941" s="1" t="s">
        <v>14</v>
      </c>
      <c r="I2941" t="s">
        <v>25</v>
      </c>
      <c r="J2941" t="s">
        <v>1656</v>
      </c>
      <c r="K2941" t="s">
        <v>197</v>
      </c>
      <c r="L2941" t="s">
        <v>1657</v>
      </c>
    </row>
    <row r="2942" spans="1:12" ht="15">
      <c r="A2942" s="4">
        <v>201410</v>
      </c>
      <c r="B2942" t="s">
        <v>1654</v>
      </c>
      <c r="C2942" s="5">
        <v>6466181</v>
      </c>
      <c r="D2942" s="2" t="s">
        <v>1658</v>
      </c>
      <c r="E2942" s="2" t="s">
        <v>269</v>
      </c>
      <c r="F2942" s="3">
        <v>6.35</v>
      </c>
      <c r="H2942" s="1" t="s">
        <v>14</v>
      </c>
      <c r="I2942" t="s">
        <v>437</v>
      </c>
      <c r="J2942" t="s">
        <v>1656</v>
      </c>
      <c r="K2942" t="s">
        <v>197</v>
      </c>
      <c r="L2942" t="s">
        <v>1657</v>
      </c>
    </row>
    <row r="2943" spans="1:12" ht="15">
      <c r="A2943" s="4">
        <v>201410</v>
      </c>
      <c r="B2943" t="s">
        <v>1654</v>
      </c>
      <c r="C2943" s="5">
        <v>6466181</v>
      </c>
      <c r="D2943" s="2" t="s">
        <v>1658</v>
      </c>
      <c r="E2943" s="2" t="s">
        <v>269</v>
      </c>
      <c r="F2943" s="3">
        <v>47.26</v>
      </c>
      <c r="H2943" s="1" t="s">
        <v>14</v>
      </c>
      <c r="I2943" t="s">
        <v>108</v>
      </c>
      <c r="J2943" t="s">
        <v>1656</v>
      </c>
      <c r="K2943" t="s">
        <v>197</v>
      </c>
      <c r="L2943" t="s">
        <v>1657</v>
      </c>
    </row>
    <row r="2944" spans="1:12" ht="15">
      <c r="A2944" s="4">
        <v>201410</v>
      </c>
      <c r="B2944" t="s">
        <v>1654</v>
      </c>
      <c r="C2944" s="5">
        <v>6466181</v>
      </c>
      <c r="D2944" s="2" t="s">
        <v>1658</v>
      </c>
      <c r="E2944" s="2" t="s">
        <v>269</v>
      </c>
      <c r="F2944" s="3">
        <v>218.4</v>
      </c>
      <c r="H2944" s="1" t="s">
        <v>14</v>
      </c>
      <c r="I2944" t="s">
        <v>92</v>
      </c>
      <c r="J2944" t="s">
        <v>1656</v>
      </c>
      <c r="K2944" t="s">
        <v>197</v>
      </c>
      <c r="L2944" t="s">
        <v>1657</v>
      </c>
    </row>
    <row r="2945" spans="1:12" ht="15">
      <c r="A2945" s="4">
        <v>201411</v>
      </c>
      <c r="B2945" t="s">
        <v>1654</v>
      </c>
      <c r="C2945" s="5">
        <v>6466181</v>
      </c>
      <c r="D2945" s="2" t="s">
        <v>1658</v>
      </c>
      <c r="E2945" s="2" t="s">
        <v>269</v>
      </c>
      <c r="F2945" s="3">
        <v>0.42</v>
      </c>
      <c r="H2945" s="1" t="s">
        <v>14</v>
      </c>
      <c r="I2945" t="s">
        <v>320</v>
      </c>
      <c r="J2945" t="s">
        <v>1656</v>
      </c>
      <c r="K2945" t="s">
        <v>197</v>
      </c>
      <c r="L2945" t="s">
        <v>1657</v>
      </c>
    </row>
    <row r="2946" spans="1:12" ht="15">
      <c r="A2946" s="4">
        <v>201411</v>
      </c>
      <c r="B2946" t="s">
        <v>1654</v>
      </c>
      <c r="C2946" s="5">
        <v>6466181</v>
      </c>
      <c r="D2946" s="2" t="s">
        <v>1658</v>
      </c>
      <c r="E2946" s="2" t="s">
        <v>269</v>
      </c>
      <c r="F2946" s="3">
        <v>1.02</v>
      </c>
      <c r="H2946" s="1" t="s">
        <v>14</v>
      </c>
      <c r="I2946" t="s">
        <v>322</v>
      </c>
      <c r="J2946" t="s">
        <v>1656</v>
      </c>
      <c r="K2946" t="s">
        <v>197</v>
      </c>
      <c r="L2946" t="s">
        <v>1657</v>
      </c>
    </row>
    <row r="2947" spans="1:12" ht="15">
      <c r="A2947" s="4">
        <v>201411</v>
      </c>
      <c r="B2947" t="s">
        <v>1654</v>
      </c>
      <c r="C2947" s="5">
        <v>6466181</v>
      </c>
      <c r="D2947" s="2" t="s">
        <v>1658</v>
      </c>
      <c r="E2947" s="2" t="s">
        <v>269</v>
      </c>
      <c r="F2947" s="3">
        <v>1.26</v>
      </c>
      <c r="H2947" s="1" t="s">
        <v>14</v>
      </c>
      <c r="I2947" t="s">
        <v>1659</v>
      </c>
      <c r="J2947" t="s">
        <v>1656</v>
      </c>
      <c r="K2947" t="s">
        <v>197</v>
      </c>
      <c r="L2947" t="s">
        <v>1657</v>
      </c>
    </row>
    <row r="2948" spans="1:12" ht="15">
      <c r="A2948" s="4">
        <v>201411</v>
      </c>
      <c r="B2948" t="s">
        <v>1654</v>
      </c>
      <c r="C2948" s="5">
        <v>6466181</v>
      </c>
      <c r="D2948" s="2" t="s">
        <v>1658</v>
      </c>
      <c r="E2948" s="2" t="s">
        <v>269</v>
      </c>
      <c r="F2948" s="3">
        <v>7.8</v>
      </c>
      <c r="H2948" s="1" t="s">
        <v>14</v>
      </c>
      <c r="I2948" t="s">
        <v>102</v>
      </c>
      <c r="J2948" t="s">
        <v>1656</v>
      </c>
      <c r="K2948" t="s">
        <v>197</v>
      </c>
      <c r="L2948" t="s">
        <v>1657</v>
      </c>
    </row>
    <row r="2949" spans="1:12" ht="15">
      <c r="A2949" s="4">
        <v>201411</v>
      </c>
      <c r="B2949" t="s">
        <v>1654</v>
      </c>
      <c r="C2949" s="5">
        <v>6466181</v>
      </c>
      <c r="D2949" s="2" t="s">
        <v>1658</v>
      </c>
      <c r="E2949" s="2" t="s">
        <v>269</v>
      </c>
      <c r="F2949" s="3">
        <v>14.1</v>
      </c>
      <c r="H2949" s="1" t="s">
        <v>14</v>
      </c>
      <c r="I2949" t="s">
        <v>105</v>
      </c>
      <c r="J2949" t="s">
        <v>1656</v>
      </c>
      <c r="K2949" t="s">
        <v>197</v>
      </c>
      <c r="L2949" t="s">
        <v>1657</v>
      </c>
    </row>
    <row r="2950" spans="1:12" ht="15">
      <c r="A2950" s="4">
        <v>201411</v>
      </c>
      <c r="B2950" t="s">
        <v>1654</v>
      </c>
      <c r="C2950" s="5">
        <v>6466181</v>
      </c>
      <c r="D2950" s="2" t="s">
        <v>1658</v>
      </c>
      <c r="E2950" s="2" t="s">
        <v>269</v>
      </c>
      <c r="F2950" s="3">
        <v>15.4</v>
      </c>
      <c r="H2950" s="1" t="s">
        <v>14</v>
      </c>
      <c r="I2950" t="s">
        <v>1660</v>
      </c>
      <c r="J2950" t="s">
        <v>1656</v>
      </c>
      <c r="K2950" t="s">
        <v>197</v>
      </c>
      <c r="L2950" t="s">
        <v>1657</v>
      </c>
    </row>
    <row r="2951" spans="1:12" ht="15">
      <c r="A2951" s="4">
        <v>201411</v>
      </c>
      <c r="B2951" t="s">
        <v>1654</v>
      </c>
      <c r="C2951" s="5">
        <v>6466181</v>
      </c>
      <c r="D2951" s="2" t="s">
        <v>1658</v>
      </c>
      <c r="E2951" s="2" t="s">
        <v>269</v>
      </c>
      <c r="F2951" s="3">
        <v>17.96</v>
      </c>
      <c r="H2951" s="1" t="s">
        <v>14</v>
      </c>
      <c r="I2951" t="s">
        <v>40</v>
      </c>
      <c r="J2951" t="s">
        <v>1656</v>
      </c>
      <c r="K2951" t="s">
        <v>197</v>
      </c>
      <c r="L2951" t="s">
        <v>1657</v>
      </c>
    </row>
    <row r="2952" spans="1:12" ht="15">
      <c r="A2952" s="4">
        <v>201411</v>
      </c>
      <c r="B2952" t="s">
        <v>1654</v>
      </c>
      <c r="C2952" s="5">
        <v>6466181</v>
      </c>
      <c r="D2952" s="2" t="s">
        <v>1658</v>
      </c>
      <c r="E2952" s="2" t="s">
        <v>269</v>
      </c>
      <c r="F2952" s="3">
        <v>25.38</v>
      </c>
      <c r="H2952" s="1" t="s">
        <v>14</v>
      </c>
      <c r="I2952" t="s">
        <v>1661</v>
      </c>
      <c r="J2952" t="s">
        <v>1656</v>
      </c>
      <c r="K2952" t="s">
        <v>197</v>
      </c>
      <c r="L2952" t="s">
        <v>1657</v>
      </c>
    </row>
    <row r="2953" spans="1:12" ht="15">
      <c r="A2953" s="4">
        <v>201411</v>
      </c>
      <c r="B2953" t="s">
        <v>1654</v>
      </c>
      <c r="C2953" s="5">
        <v>6466181</v>
      </c>
      <c r="D2953" s="2" t="s">
        <v>1658</v>
      </c>
      <c r="E2953" s="2" t="s">
        <v>269</v>
      </c>
      <c r="F2953" s="3">
        <v>25.92</v>
      </c>
      <c r="H2953" s="1" t="s">
        <v>14</v>
      </c>
      <c r="I2953" t="s">
        <v>1662</v>
      </c>
      <c r="J2953" t="s">
        <v>1656</v>
      </c>
      <c r="K2953" t="s">
        <v>197</v>
      </c>
      <c r="L2953" t="s">
        <v>1657</v>
      </c>
    </row>
    <row r="2954" spans="1:12" ht="15">
      <c r="A2954" s="4">
        <v>201411</v>
      </c>
      <c r="B2954" t="s">
        <v>1654</v>
      </c>
      <c r="C2954" s="5">
        <v>6466181</v>
      </c>
      <c r="D2954" s="2" t="s">
        <v>1658</v>
      </c>
      <c r="E2954" s="2" t="s">
        <v>269</v>
      </c>
      <c r="F2954" s="3">
        <v>31.74</v>
      </c>
      <c r="H2954" s="1" t="s">
        <v>14</v>
      </c>
      <c r="I2954" t="s">
        <v>1663</v>
      </c>
      <c r="J2954" t="s">
        <v>1656</v>
      </c>
      <c r="K2954" t="s">
        <v>197</v>
      </c>
      <c r="L2954" t="s">
        <v>1657</v>
      </c>
    </row>
    <row r="2955" spans="1:12" ht="15">
      <c r="A2955" s="4">
        <v>201411</v>
      </c>
      <c r="B2955" t="s">
        <v>1654</v>
      </c>
      <c r="C2955" s="5">
        <v>6466181</v>
      </c>
      <c r="D2955" s="2" t="s">
        <v>1658</v>
      </c>
      <c r="E2955" s="2" t="s">
        <v>269</v>
      </c>
      <c r="F2955" s="3">
        <v>63.84</v>
      </c>
      <c r="H2955" s="1" t="s">
        <v>14</v>
      </c>
      <c r="I2955" t="s">
        <v>1664</v>
      </c>
      <c r="J2955" t="s">
        <v>1656</v>
      </c>
      <c r="K2955" t="s">
        <v>197</v>
      </c>
      <c r="L2955" t="s">
        <v>1657</v>
      </c>
    </row>
    <row r="2956" spans="1:12" ht="15">
      <c r="A2956" s="4">
        <v>201411</v>
      </c>
      <c r="B2956" t="s">
        <v>1654</v>
      </c>
      <c r="C2956" s="5">
        <v>6466181</v>
      </c>
      <c r="D2956" s="2" t="s">
        <v>1658</v>
      </c>
      <c r="E2956" s="2" t="s">
        <v>269</v>
      </c>
      <c r="F2956" s="3">
        <v>124</v>
      </c>
      <c r="H2956" s="1" t="s">
        <v>14</v>
      </c>
      <c r="I2956" t="s">
        <v>107</v>
      </c>
      <c r="J2956" t="s">
        <v>1656</v>
      </c>
      <c r="K2956" t="s">
        <v>197</v>
      </c>
      <c r="L2956" t="s">
        <v>1657</v>
      </c>
    </row>
    <row r="2957" spans="1:14" ht="15">
      <c r="A2957" s="4">
        <v>201411</v>
      </c>
      <c r="B2957" t="s">
        <v>1654</v>
      </c>
      <c r="C2957" s="5">
        <v>6466181</v>
      </c>
      <c r="D2957" s="2" t="s">
        <v>1658</v>
      </c>
      <c r="E2957" s="2" t="s">
        <v>269</v>
      </c>
      <c r="F2957" s="3">
        <v>3</v>
      </c>
      <c r="G2957" t="s">
        <v>57</v>
      </c>
      <c r="H2957" s="1" t="s">
        <v>60</v>
      </c>
      <c r="I2957">
        <f>-32481/4382-610577/1</f>
        <v>-610584.4123687814</v>
      </c>
      <c r="J2957" t="s">
        <v>1656</v>
      </c>
      <c r="K2957" t="s">
        <v>197</v>
      </c>
      <c r="L2957" t="s">
        <v>1657</v>
      </c>
      <c r="N2957" t="s">
        <v>58</v>
      </c>
    </row>
    <row r="2958" spans="1:13" ht="15">
      <c r="A2958" s="4">
        <v>201411</v>
      </c>
      <c r="B2958" t="s">
        <v>1654</v>
      </c>
      <c r="C2958" s="5">
        <v>6466181</v>
      </c>
      <c r="D2958" s="2" t="s">
        <v>1658</v>
      </c>
      <c r="E2958" s="2" t="s">
        <v>269</v>
      </c>
      <c r="F2958" s="3">
        <v>24.53</v>
      </c>
      <c r="G2958" t="s">
        <v>1665</v>
      </c>
      <c r="H2958" s="1" t="s">
        <v>60</v>
      </c>
      <c r="I2958" t="s">
        <v>1666</v>
      </c>
      <c r="J2958" t="s">
        <v>1656</v>
      </c>
      <c r="K2958" t="s">
        <v>197</v>
      </c>
      <c r="L2958" t="s">
        <v>1657</v>
      </c>
      <c r="M2958">
        <v>917981</v>
      </c>
    </row>
    <row r="2959" spans="1:13" ht="15">
      <c r="A2959" s="4">
        <v>201411</v>
      </c>
      <c r="B2959" t="s">
        <v>1654</v>
      </c>
      <c r="C2959" s="5">
        <v>6466181</v>
      </c>
      <c r="D2959" s="2" t="s">
        <v>1658</v>
      </c>
      <c r="E2959" s="2" t="s">
        <v>269</v>
      </c>
      <c r="F2959" s="3">
        <v>25.58</v>
      </c>
      <c r="G2959" t="s">
        <v>1665</v>
      </c>
      <c r="H2959" s="1" t="s">
        <v>60</v>
      </c>
      <c r="I2959" t="s">
        <v>1667</v>
      </c>
      <c r="J2959" t="s">
        <v>1656</v>
      </c>
      <c r="K2959" t="s">
        <v>197</v>
      </c>
      <c r="L2959" t="s">
        <v>1657</v>
      </c>
      <c r="M2959">
        <v>917981</v>
      </c>
    </row>
    <row r="2960" spans="1:14" ht="15">
      <c r="A2960" s="4">
        <v>201411</v>
      </c>
      <c r="B2960" t="s">
        <v>1654</v>
      </c>
      <c r="C2960" s="5">
        <v>6466181</v>
      </c>
      <c r="D2960" s="2" t="s">
        <v>1658</v>
      </c>
      <c r="E2960" s="2" t="s">
        <v>269</v>
      </c>
      <c r="F2960" s="3">
        <v>150.35</v>
      </c>
      <c r="G2960" t="s">
        <v>57</v>
      </c>
      <c r="H2960" s="1" t="s">
        <v>60</v>
      </c>
      <c r="I2960">
        <f>-22300/9551009/1</f>
        <v>-0.00233483184865599</v>
      </c>
      <c r="J2960" t="s">
        <v>1656</v>
      </c>
      <c r="K2960" t="s">
        <v>197</v>
      </c>
      <c r="L2960" t="s">
        <v>1657</v>
      </c>
      <c r="N2960" t="s">
        <v>58</v>
      </c>
    </row>
    <row r="2961" spans="1:13" ht="15">
      <c r="A2961" s="4">
        <v>201411</v>
      </c>
      <c r="B2961" t="s">
        <v>1654</v>
      </c>
      <c r="C2961" s="5">
        <v>6466181</v>
      </c>
      <c r="D2961" s="2" t="s">
        <v>1658</v>
      </c>
      <c r="E2961" s="2" t="s">
        <v>269</v>
      </c>
      <c r="F2961" s="3">
        <v>706.25</v>
      </c>
      <c r="G2961" t="s">
        <v>668</v>
      </c>
      <c r="H2961" s="1" t="s">
        <v>60</v>
      </c>
      <c r="I2961" t="s">
        <v>1668</v>
      </c>
      <c r="J2961" t="s">
        <v>1656</v>
      </c>
      <c r="K2961" t="s">
        <v>197</v>
      </c>
      <c r="L2961" t="s">
        <v>1657</v>
      </c>
      <c r="M2961">
        <v>915957</v>
      </c>
    </row>
    <row r="2962" spans="1:13" ht="15">
      <c r="A2962" s="4">
        <v>201411</v>
      </c>
      <c r="B2962" t="s">
        <v>1654</v>
      </c>
      <c r="C2962" s="5">
        <v>6466181</v>
      </c>
      <c r="D2962" s="2" t="s">
        <v>1658</v>
      </c>
      <c r="E2962" s="2" t="s">
        <v>269</v>
      </c>
      <c r="F2962" s="3">
        <v>1799.52</v>
      </c>
      <c r="G2962" t="s">
        <v>668</v>
      </c>
      <c r="H2962" s="1" t="s">
        <v>60</v>
      </c>
      <c r="I2962" t="s">
        <v>1669</v>
      </c>
      <c r="J2962" t="s">
        <v>1656</v>
      </c>
      <c r="K2962" t="s">
        <v>197</v>
      </c>
      <c r="L2962" t="s">
        <v>1657</v>
      </c>
      <c r="M2962">
        <v>915957</v>
      </c>
    </row>
    <row r="2963" spans="1:14" ht="15">
      <c r="A2963" s="4">
        <v>201412</v>
      </c>
      <c r="B2963" t="s">
        <v>1654</v>
      </c>
      <c r="C2963" s="5">
        <v>6466181</v>
      </c>
      <c r="D2963" s="2" t="s">
        <v>1658</v>
      </c>
      <c r="E2963" s="2" t="s">
        <v>269</v>
      </c>
      <c r="F2963" s="3">
        <v>1.47</v>
      </c>
      <c r="G2963" t="s">
        <v>57</v>
      </c>
      <c r="H2963" s="1" t="s">
        <v>60</v>
      </c>
      <c r="I2963">
        <f>-32481/4382-612226/1</f>
        <v>-612233.4123687814</v>
      </c>
      <c r="J2963" t="s">
        <v>1656</v>
      </c>
      <c r="K2963" t="s">
        <v>197</v>
      </c>
      <c r="L2963" t="s">
        <v>1657</v>
      </c>
      <c r="N2963" t="s">
        <v>58</v>
      </c>
    </row>
    <row r="2964" spans="1:14" ht="15">
      <c r="A2964" s="4">
        <v>201412</v>
      </c>
      <c r="B2964" t="s">
        <v>1654</v>
      </c>
      <c r="C2964" s="5">
        <v>6466181</v>
      </c>
      <c r="D2964" s="2" t="s">
        <v>1658</v>
      </c>
      <c r="E2964" s="2" t="s">
        <v>269</v>
      </c>
      <c r="F2964" s="3">
        <v>8.06</v>
      </c>
      <c r="G2964" t="s">
        <v>57</v>
      </c>
      <c r="H2964" s="1" t="s">
        <v>60</v>
      </c>
      <c r="I2964" t="e">
        <f>-66830/KYCAR51178/1</f>
        <v>#NAME?</v>
      </c>
      <c r="J2964" t="s">
        <v>1656</v>
      </c>
      <c r="K2964" t="s">
        <v>197</v>
      </c>
      <c r="L2964" t="s">
        <v>1657</v>
      </c>
      <c r="N2964" t="s">
        <v>58</v>
      </c>
    </row>
    <row r="2965" spans="1:14" ht="15">
      <c r="A2965" s="4">
        <v>201412</v>
      </c>
      <c r="B2965" t="s">
        <v>1654</v>
      </c>
      <c r="C2965" s="5">
        <v>6466181</v>
      </c>
      <c r="D2965" s="2" t="s">
        <v>1658</v>
      </c>
      <c r="E2965" s="2" t="s">
        <v>269</v>
      </c>
      <c r="F2965" s="3">
        <v>8.76</v>
      </c>
      <c r="G2965" t="s">
        <v>57</v>
      </c>
      <c r="H2965" s="1" t="s">
        <v>60</v>
      </c>
      <c r="I2965" t="s">
        <v>1670</v>
      </c>
      <c r="J2965" t="s">
        <v>1656</v>
      </c>
      <c r="K2965" t="s">
        <v>197</v>
      </c>
      <c r="L2965" t="s">
        <v>1657</v>
      </c>
      <c r="N2965" t="s">
        <v>58</v>
      </c>
    </row>
    <row r="2966" spans="1:13" ht="15">
      <c r="A2966" s="4">
        <v>201412</v>
      </c>
      <c r="B2966" t="s">
        <v>1654</v>
      </c>
      <c r="C2966" s="5">
        <v>6466181</v>
      </c>
      <c r="D2966" s="2" t="s">
        <v>1658</v>
      </c>
      <c r="E2966" s="2" t="s">
        <v>269</v>
      </c>
      <c r="F2966" s="3">
        <v>24.53</v>
      </c>
      <c r="G2966" t="s">
        <v>1665</v>
      </c>
      <c r="H2966" s="1" t="s">
        <v>60</v>
      </c>
      <c r="I2966" t="s">
        <v>1671</v>
      </c>
      <c r="J2966" t="s">
        <v>1656</v>
      </c>
      <c r="K2966" t="s">
        <v>197</v>
      </c>
      <c r="L2966" t="s">
        <v>1657</v>
      </c>
      <c r="M2966">
        <v>918610</v>
      </c>
    </row>
    <row r="2967" spans="1:13" ht="15">
      <c r="A2967" s="4">
        <v>201412</v>
      </c>
      <c r="B2967" t="s">
        <v>1654</v>
      </c>
      <c r="C2967" s="5">
        <v>6466181</v>
      </c>
      <c r="D2967" s="2" t="s">
        <v>1658</v>
      </c>
      <c r="E2967" s="2" t="s">
        <v>269</v>
      </c>
      <c r="F2967" s="3">
        <v>71.3</v>
      </c>
      <c r="G2967" t="s">
        <v>109</v>
      </c>
      <c r="H2967" s="1" t="s">
        <v>60</v>
      </c>
      <c r="I2967" t="e">
        <f>-Casters</f>
        <v>#NAME?</v>
      </c>
      <c r="J2967" t="s">
        <v>1656</v>
      </c>
      <c r="K2967" t="s">
        <v>197</v>
      </c>
      <c r="L2967" t="s">
        <v>1657</v>
      </c>
      <c r="M2967">
        <v>916635</v>
      </c>
    </row>
    <row r="2968" spans="1:14" ht="15">
      <c r="A2968" s="4">
        <v>201412</v>
      </c>
      <c r="B2968" t="s">
        <v>1654</v>
      </c>
      <c r="C2968" s="5">
        <v>6466181</v>
      </c>
      <c r="D2968" s="2" t="s">
        <v>1658</v>
      </c>
      <c r="E2968" s="2" t="s">
        <v>269</v>
      </c>
      <c r="F2968" s="3">
        <v>74.07</v>
      </c>
      <c r="G2968" t="s">
        <v>57</v>
      </c>
      <c r="H2968" s="1" t="s">
        <v>60</v>
      </c>
      <c r="I2968" t="e">
        <f>-66830/KYCAR50813/1</f>
        <v>#NAME?</v>
      </c>
      <c r="J2968" t="s">
        <v>1656</v>
      </c>
      <c r="K2968" t="s">
        <v>197</v>
      </c>
      <c r="L2968" t="s">
        <v>1657</v>
      </c>
      <c r="N2968" t="s">
        <v>58</v>
      </c>
    </row>
    <row r="2969" spans="1:13" ht="15">
      <c r="A2969" s="4">
        <v>201412</v>
      </c>
      <c r="B2969" t="s">
        <v>1654</v>
      </c>
      <c r="C2969" s="5">
        <v>6466181</v>
      </c>
      <c r="D2969" s="2" t="s">
        <v>1658</v>
      </c>
      <c r="E2969" s="2" t="s">
        <v>269</v>
      </c>
      <c r="F2969" s="3">
        <v>112.27</v>
      </c>
      <c r="G2969" t="s">
        <v>109</v>
      </c>
      <c r="H2969" s="1" t="s">
        <v>60</v>
      </c>
      <c r="I2969" t="s">
        <v>1672</v>
      </c>
      <c r="J2969" t="s">
        <v>1656</v>
      </c>
      <c r="K2969" t="s">
        <v>197</v>
      </c>
      <c r="L2969" t="s">
        <v>1657</v>
      </c>
      <c r="M2969">
        <v>916635</v>
      </c>
    </row>
    <row r="2970" spans="1:13" ht="15">
      <c r="A2970" s="4">
        <v>201412</v>
      </c>
      <c r="B2970" t="s">
        <v>1654</v>
      </c>
      <c r="C2970" s="5">
        <v>6466181</v>
      </c>
      <c r="D2970" s="2" t="s">
        <v>1658</v>
      </c>
      <c r="E2970" s="2" t="s">
        <v>269</v>
      </c>
      <c r="F2970" s="3">
        <v>134.32</v>
      </c>
      <c r="G2970" t="s">
        <v>109</v>
      </c>
      <c r="H2970" s="1" t="s">
        <v>60</v>
      </c>
      <c r="I2970" t="e">
        <f>-FITTING-SS Fittings</f>
        <v>#NAME?</v>
      </c>
      <c r="J2970" t="s">
        <v>1656</v>
      </c>
      <c r="K2970" t="s">
        <v>197</v>
      </c>
      <c r="L2970" t="s">
        <v>1657</v>
      </c>
      <c r="M2970">
        <v>917804</v>
      </c>
    </row>
    <row r="2971" spans="1:13" ht="15">
      <c r="A2971" s="4">
        <v>201412</v>
      </c>
      <c r="B2971" t="s">
        <v>1654</v>
      </c>
      <c r="C2971" s="5">
        <v>6466181</v>
      </c>
      <c r="D2971" s="2" t="s">
        <v>1658</v>
      </c>
      <c r="E2971" s="2" t="s">
        <v>269</v>
      </c>
      <c r="F2971" s="3">
        <v>146</v>
      </c>
      <c r="G2971" t="s">
        <v>1673</v>
      </c>
      <c r="H2971" s="1" t="s">
        <v>60</v>
      </c>
      <c r="I2971" t="s">
        <v>1674</v>
      </c>
      <c r="J2971" t="s">
        <v>1656</v>
      </c>
      <c r="K2971" t="s">
        <v>197</v>
      </c>
      <c r="L2971" t="s">
        <v>1657</v>
      </c>
      <c r="M2971">
        <v>918654</v>
      </c>
    </row>
    <row r="2972" spans="1:13" ht="15">
      <c r="A2972" s="4">
        <v>201412</v>
      </c>
      <c r="B2972" t="s">
        <v>1654</v>
      </c>
      <c r="C2972" s="5">
        <v>6466181</v>
      </c>
      <c r="D2972" s="2" t="s">
        <v>1658</v>
      </c>
      <c r="E2972" s="2" t="s">
        <v>269</v>
      </c>
      <c r="F2972" s="3">
        <v>240</v>
      </c>
      <c r="G2972" t="s">
        <v>109</v>
      </c>
      <c r="H2972" s="1" t="s">
        <v>60</v>
      </c>
      <c r="I2972" t="s">
        <v>1675</v>
      </c>
      <c r="J2972" t="s">
        <v>1656</v>
      </c>
      <c r="K2972" t="s">
        <v>197</v>
      </c>
      <c r="L2972" t="s">
        <v>1657</v>
      </c>
      <c r="M2972">
        <v>916635</v>
      </c>
    </row>
    <row r="2973" spans="1:13" ht="15">
      <c r="A2973" s="4">
        <v>201412</v>
      </c>
      <c r="B2973" t="s">
        <v>1654</v>
      </c>
      <c r="C2973" s="5">
        <v>6466181</v>
      </c>
      <c r="D2973" s="2" t="s">
        <v>1658</v>
      </c>
      <c r="E2973" s="2" t="s">
        <v>269</v>
      </c>
      <c r="F2973" s="3">
        <v>379.92</v>
      </c>
      <c r="G2973" t="s">
        <v>109</v>
      </c>
      <c r="H2973" s="1" t="s">
        <v>60</v>
      </c>
      <c r="I2973" t="s">
        <v>1676</v>
      </c>
      <c r="J2973" t="s">
        <v>1656</v>
      </c>
      <c r="K2973" t="s">
        <v>197</v>
      </c>
      <c r="L2973" t="s">
        <v>1657</v>
      </c>
      <c r="M2973">
        <v>916635</v>
      </c>
    </row>
    <row r="2974" spans="1:13" ht="15">
      <c r="A2974" s="4">
        <v>201412</v>
      </c>
      <c r="B2974" t="s">
        <v>1654</v>
      </c>
      <c r="C2974" s="5">
        <v>6466181</v>
      </c>
      <c r="D2974" s="2" t="s">
        <v>1658</v>
      </c>
      <c r="E2974" s="2" t="s">
        <v>269</v>
      </c>
      <c r="F2974" s="3">
        <v>430.91</v>
      </c>
      <c r="G2974" t="s">
        <v>109</v>
      </c>
      <c r="H2974" s="1" t="s">
        <v>60</v>
      </c>
      <c r="I2974" t="e">
        <f>-SM150F</f>
        <v>#NAME?</v>
      </c>
      <c r="J2974" t="s">
        <v>1656</v>
      </c>
      <c r="K2974" t="s">
        <v>197</v>
      </c>
      <c r="L2974" t="s">
        <v>1657</v>
      </c>
      <c r="M2974">
        <v>916635</v>
      </c>
    </row>
    <row r="2975" spans="1:12" ht="15">
      <c r="A2975" s="4">
        <v>201410</v>
      </c>
      <c r="B2975" t="s">
        <v>1654</v>
      </c>
      <c r="C2975" s="5">
        <v>6466181</v>
      </c>
      <c r="D2975" s="2" t="s">
        <v>1658</v>
      </c>
      <c r="E2975" s="2" t="s">
        <v>269</v>
      </c>
      <c r="F2975" s="3">
        <v>10.13</v>
      </c>
      <c r="H2975" s="1" t="s">
        <v>66</v>
      </c>
      <c r="I2975" t="s">
        <v>67</v>
      </c>
      <c r="J2975" t="s">
        <v>1656</v>
      </c>
      <c r="K2975" t="s">
        <v>197</v>
      </c>
      <c r="L2975" t="s">
        <v>1657</v>
      </c>
    </row>
    <row r="2976" spans="1:12" ht="15">
      <c r="A2976" s="4">
        <v>201411</v>
      </c>
      <c r="B2976" t="s">
        <v>1654</v>
      </c>
      <c r="C2976" s="5">
        <v>6466181</v>
      </c>
      <c r="D2976" s="2" t="s">
        <v>1658</v>
      </c>
      <c r="E2976" s="2" t="s">
        <v>269</v>
      </c>
      <c r="F2976" s="3">
        <v>19.99</v>
      </c>
      <c r="H2976" s="1" t="s">
        <v>66</v>
      </c>
      <c r="I2976" t="s">
        <v>67</v>
      </c>
      <c r="J2976" t="s">
        <v>1656</v>
      </c>
      <c r="K2976" t="s">
        <v>197</v>
      </c>
      <c r="L2976" t="s">
        <v>1657</v>
      </c>
    </row>
    <row r="2977" spans="1:14" ht="15">
      <c r="A2977" s="4">
        <v>201411</v>
      </c>
      <c r="B2977" t="s">
        <v>1654</v>
      </c>
      <c r="C2977" s="5">
        <v>6466181</v>
      </c>
      <c r="D2977" s="2" t="s">
        <v>1658</v>
      </c>
      <c r="E2977" s="2" t="s">
        <v>269</v>
      </c>
      <c r="F2977" s="3">
        <v>2.76</v>
      </c>
      <c r="G2977" t="s">
        <v>57</v>
      </c>
      <c r="H2977" s="1" t="s">
        <v>69</v>
      </c>
      <c r="I2977">
        <f>-22300/9551009/1</f>
        <v>-0.00233483184865599</v>
      </c>
      <c r="J2977" t="s">
        <v>1656</v>
      </c>
      <c r="K2977" t="s">
        <v>197</v>
      </c>
      <c r="L2977" t="s">
        <v>1657</v>
      </c>
      <c r="N2977" t="s">
        <v>58</v>
      </c>
    </row>
    <row r="2978" spans="1:12" ht="15">
      <c r="A2978" s="4">
        <v>201411</v>
      </c>
      <c r="B2978" t="s">
        <v>1654</v>
      </c>
      <c r="C2978" s="5">
        <v>6466181</v>
      </c>
      <c r="D2978" s="2" t="s">
        <v>1658</v>
      </c>
      <c r="E2978" s="2" t="s">
        <v>269</v>
      </c>
      <c r="F2978" s="3">
        <v>45.99</v>
      </c>
      <c r="G2978" t="s">
        <v>668</v>
      </c>
      <c r="H2978" s="1" t="s">
        <v>69</v>
      </c>
      <c r="I2978" t="e">
        <f>-freight</f>
        <v>#NAME?</v>
      </c>
      <c r="J2978" t="s">
        <v>1656</v>
      </c>
      <c r="K2978" t="s">
        <v>197</v>
      </c>
      <c r="L2978" t="s">
        <v>1657</v>
      </c>
    </row>
    <row r="2979" spans="1:12" ht="15">
      <c r="A2979" s="4">
        <v>201411</v>
      </c>
      <c r="B2979" t="s">
        <v>1654</v>
      </c>
      <c r="C2979" s="5">
        <v>6466181</v>
      </c>
      <c r="D2979" s="2" t="s">
        <v>1658</v>
      </c>
      <c r="E2979" s="2" t="s">
        <v>269</v>
      </c>
      <c r="F2979" s="3">
        <v>458.66</v>
      </c>
      <c r="G2979" t="s">
        <v>83</v>
      </c>
      <c r="H2979" s="1" t="s">
        <v>69</v>
      </c>
      <c r="I2979" t="e">
        <f>-freight FOR cabinet</f>
        <v>#NAME?</v>
      </c>
      <c r="J2979" t="s">
        <v>1656</v>
      </c>
      <c r="K2979" t="s">
        <v>197</v>
      </c>
      <c r="L2979" t="s">
        <v>1657</v>
      </c>
    </row>
    <row r="2980" spans="1:14" ht="15">
      <c r="A2980" s="4">
        <v>201412</v>
      </c>
      <c r="B2980" t="s">
        <v>1654</v>
      </c>
      <c r="C2980" s="5">
        <v>6466181</v>
      </c>
      <c r="D2980" s="2" t="s">
        <v>1658</v>
      </c>
      <c r="E2980" s="2" t="s">
        <v>269</v>
      </c>
      <c r="F2980" s="3">
        <v>2.26</v>
      </c>
      <c r="G2980" t="s">
        <v>57</v>
      </c>
      <c r="H2980" s="1" t="s">
        <v>69</v>
      </c>
      <c r="I2980" t="e">
        <f>-66830/KYCAR50813/1</f>
        <v>#NAME?</v>
      </c>
      <c r="J2980" t="s">
        <v>1656</v>
      </c>
      <c r="K2980" t="s">
        <v>197</v>
      </c>
      <c r="L2980" t="s">
        <v>1657</v>
      </c>
      <c r="N2980" t="s">
        <v>58</v>
      </c>
    </row>
    <row r="2981" spans="1:14" ht="15">
      <c r="A2981" s="4">
        <v>201412</v>
      </c>
      <c r="B2981" t="s">
        <v>1654</v>
      </c>
      <c r="C2981" s="5">
        <v>6466181</v>
      </c>
      <c r="D2981" s="2" t="s">
        <v>1658</v>
      </c>
      <c r="E2981" s="2" t="s">
        <v>269</v>
      </c>
      <c r="F2981" s="3">
        <v>2.7</v>
      </c>
      <c r="G2981" t="s">
        <v>57</v>
      </c>
      <c r="H2981" s="1" t="s">
        <v>69</v>
      </c>
      <c r="I2981" t="s">
        <v>1670</v>
      </c>
      <c r="J2981" t="s">
        <v>1656</v>
      </c>
      <c r="K2981" t="s">
        <v>197</v>
      </c>
      <c r="L2981" t="s">
        <v>1657</v>
      </c>
      <c r="N2981" t="s">
        <v>58</v>
      </c>
    </row>
    <row r="2982" spans="1:12" ht="15">
      <c r="A2982" s="4">
        <v>201412</v>
      </c>
      <c r="B2982" t="s">
        <v>1654</v>
      </c>
      <c r="C2982" s="5">
        <v>6466181</v>
      </c>
      <c r="D2982" s="2" t="s">
        <v>1658</v>
      </c>
      <c r="E2982" s="2" t="s">
        <v>269</v>
      </c>
      <c r="F2982" s="3">
        <v>37.6</v>
      </c>
      <c r="G2982" t="s">
        <v>109</v>
      </c>
      <c r="H2982" s="1" t="s">
        <v>69</v>
      </c>
      <c r="I2982" t="e">
        <f>-freight</f>
        <v>#NAME?</v>
      </c>
      <c r="J2982" t="s">
        <v>1656</v>
      </c>
      <c r="K2982" t="s">
        <v>197</v>
      </c>
      <c r="L2982" t="s">
        <v>1657</v>
      </c>
    </row>
    <row r="2983" spans="1:12" ht="15">
      <c r="A2983" s="4">
        <v>201412</v>
      </c>
      <c r="B2983" t="s">
        <v>1654</v>
      </c>
      <c r="C2983" s="5">
        <v>6466181</v>
      </c>
      <c r="D2983" s="2" t="s">
        <v>1658</v>
      </c>
      <c r="E2983" s="2" t="s">
        <v>269</v>
      </c>
      <c r="F2983" s="3">
        <v>45.05</v>
      </c>
      <c r="G2983" t="s">
        <v>1673</v>
      </c>
      <c r="H2983" s="1" t="s">
        <v>69</v>
      </c>
      <c r="I2983" t="e">
        <f>-freight</f>
        <v>#NAME?</v>
      </c>
      <c r="J2983" t="s">
        <v>1656</v>
      </c>
      <c r="K2983" t="s">
        <v>197</v>
      </c>
      <c r="L2983" t="s">
        <v>1657</v>
      </c>
    </row>
    <row r="2984" spans="1:12" ht="15">
      <c r="A2984" s="4">
        <v>201403</v>
      </c>
      <c r="B2984" t="s">
        <v>1654</v>
      </c>
      <c r="C2984" s="5">
        <v>6475504</v>
      </c>
      <c r="D2984" s="2" t="s">
        <v>353</v>
      </c>
      <c r="E2984" s="2" t="s">
        <v>1478</v>
      </c>
      <c r="F2984" s="3">
        <v>2288</v>
      </c>
      <c r="H2984" s="1" t="s">
        <v>60</v>
      </c>
      <c r="I2984" t="s">
        <v>1677</v>
      </c>
      <c r="J2984" t="s">
        <v>1656</v>
      </c>
      <c r="K2984" t="s">
        <v>197</v>
      </c>
      <c r="L2984" t="s">
        <v>1657</v>
      </c>
    </row>
    <row r="2985" spans="1:12" ht="15">
      <c r="A2985" s="4">
        <v>201404</v>
      </c>
      <c r="B2985" t="s">
        <v>1654</v>
      </c>
      <c r="C2985" s="5">
        <v>6475504</v>
      </c>
      <c r="D2985" s="2" t="s">
        <v>353</v>
      </c>
      <c r="E2985" s="2" t="s">
        <v>1478</v>
      </c>
      <c r="F2985" s="3">
        <v>-2288</v>
      </c>
      <c r="H2985" s="1" t="s">
        <v>60</v>
      </c>
      <c r="I2985" t="s">
        <v>1677</v>
      </c>
      <c r="J2985" t="s">
        <v>1656</v>
      </c>
      <c r="K2985" t="s">
        <v>197</v>
      </c>
      <c r="L2985" t="s">
        <v>1657</v>
      </c>
    </row>
    <row r="2986" spans="1:13" ht="15">
      <c r="A2986" s="4">
        <v>201404</v>
      </c>
      <c r="B2986" t="s">
        <v>1654</v>
      </c>
      <c r="C2986" s="5">
        <v>6475504</v>
      </c>
      <c r="D2986" s="2" t="s">
        <v>353</v>
      </c>
      <c r="E2986" s="2" t="s">
        <v>1478</v>
      </c>
      <c r="F2986" s="3">
        <v>114</v>
      </c>
      <c r="G2986" t="s">
        <v>329</v>
      </c>
      <c r="H2986" s="1" t="s">
        <v>60</v>
      </c>
      <c r="I2986" t="s">
        <v>1678</v>
      </c>
      <c r="J2986" t="s">
        <v>1656</v>
      </c>
      <c r="K2986" t="s">
        <v>197</v>
      </c>
      <c r="L2986" t="s">
        <v>1657</v>
      </c>
      <c r="M2986">
        <v>901135</v>
      </c>
    </row>
    <row r="2987" spans="1:14" ht="15">
      <c r="A2987" s="4">
        <v>201404</v>
      </c>
      <c r="B2987" t="s">
        <v>1654</v>
      </c>
      <c r="C2987" s="5">
        <v>6475504</v>
      </c>
      <c r="D2987" s="2" t="s">
        <v>353</v>
      </c>
      <c r="E2987" s="2" t="s">
        <v>1478</v>
      </c>
      <c r="F2987" s="3">
        <v>123.84</v>
      </c>
      <c r="G2987" t="s">
        <v>57</v>
      </c>
      <c r="H2987" s="1" t="s">
        <v>60</v>
      </c>
      <c r="I2987">
        <f>-19284/103356201/1</f>
        <v>-0.0001865780651129002</v>
      </c>
      <c r="J2987" t="s">
        <v>1656</v>
      </c>
      <c r="K2987" t="s">
        <v>197</v>
      </c>
      <c r="L2987" t="s">
        <v>1657</v>
      </c>
      <c r="N2987" t="s">
        <v>58</v>
      </c>
    </row>
    <row r="2988" spans="1:14" ht="15">
      <c r="A2988" s="4">
        <v>201404</v>
      </c>
      <c r="B2988" t="s">
        <v>1654</v>
      </c>
      <c r="C2988" s="5">
        <v>6475504</v>
      </c>
      <c r="D2988" s="2" t="s">
        <v>353</v>
      </c>
      <c r="E2988" s="2" t="s">
        <v>1478</v>
      </c>
      <c r="F2988" s="3">
        <v>137.28</v>
      </c>
      <c r="G2988" t="s">
        <v>57</v>
      </c>
      <c r="H2988" s="1" t="s">
        <v>60</v>
      </c>
      <c r="I2988">
        <f>-19284/103356200/1</f>
        <v>-0.0001865780669180949</v>
      </c>
      <c r="J2988" t="s">
        <v>1656</v>
      </c>
      <c r="K2988" t="s">
        <v>197</v>
      </c>
      <c r="L2988" t="s">
        <v>1657</v>
      </c>
      <c r="N2988" t="s">
        <v>58</v>
      </c>
    </row>
    <row r="2989" spans="1:13" ht="15">
      <c r="A2989" s="4">
        <v>201404</v>
      </c>
      <c r="B2989" t="s">
        <v>1654</v>
      </c>
      <c r="C2989" s="5">
        <v>6475504</v>
      </c>
      <c r="D2989" s="2" t="s">
        <v>353</v>
      </c>
      <c r="E2989" s="2" t="s">
        <v>1478</v>
      </c>
      <c r="F2989" s="3">
        <v>1035</v>
      </c>
      <c r="G2989" t="s">
        <v>329</v>
      </c>
      <c r="H2989" s="1" t="s">
        <v>60</v>
      </c>
      <c r="I2989" t="s">
        <v>1679</v>
      </c>
      <c r="J2989" t="s">
        <v>1656</v>
      </c>
      <c r="K2989" t="s">
        <v>197</v>
      </c>
      <c r="L2989" t="s">
        <v>1657</v>
      </c>
      <c r="M2989">
        <v>901135</v>
      </c>
    </row>
    <row r="2990" spans="1:13" ht="15">
      <c r="A2990" s="4">
        <v>201404</v>
      </c>
      <c r="B2990" t="s">
        <v>1654</v>
      </c>
      <c r="C2990" s="5">
        <v>6475504</v>
      </c>
      <c r="D2990" s="2" t="s">
        <v>353</v>
      </c>
      <c r="E2990" s="2" t="s">
        <v>1478</v>
      </c>
      <c r="F2990" s="3">
        <v>1253</v>
      </c>
      <c r="G2990" t="s">
        <v>329</v>
      </c>
      <c r="H2990" s="1" t="s">
        <v>60</v>
      </c>
      <c r="I2990" t="s">
        <v>1680</v>
      </c>
      <c r="J2990" t="s">
        <v>1656</v>
      </c>
      <c r="K2990" t="s">
        <v>197</v>
      </c>
      <c r="L2990" t="s">
        <v>1657</v>
      </c>
      <c r="M2990">
        <v>901135</v>
      </c>
    </row>
    <row r="2991" spans="1:13" ht="15">
      <c r="A2991" s="4">
        <v>201404</v>
      </c>
      <c r="B2991" t="s">
        <v>1654</v>
      </c>
      <c r="C2991" s="5">
        <v>6475504</v>
      </c>
      <c r="D2991" s="2" t="s">
        <v>353</v>
      </c>
      <c r="E2991" s="2" t="s">
        <v>1478</v>
      </c>
      <c r="F2991" s="3">
        <v>1950</v>
      </c>
      <c r="G2991" t="s">
        <v>329</v>
      </c>
      <c r="H2991" s="1" t="s">
        <v>60</v>
      </c>
      <c r="I2991" t="s">
        <v>1681</v>
      </c>
      <c r="J2991" t="s">
        <v>1656</v>
      </c>
      <c r="K2991" t="s">
        <v>197</v>
      </c>
      <c r="L2991" t="s">
        <v>1657</v>
      </c>
      <c r="M2991">
        <v>901135</v>
      </c>
    </row>
    <row r="2992" spans="1:14" ht="15">
      <c r="A2992" s="4">
        <v>201404</v>
      </c>
      <c r="B2992" t="s">
        <v>1654</v>
      </c>
      <c r="C2992" s="5">
        <v>6475504</v>
      </c>
      <c r="D2992" s="2" t="s">
        <v>353</v>
      </c>
      <c r="E2992" s="2" t="s">
        <v>1478</v>
      </c>
      <c r="F2992" s="3">
        <v>3.46</v>
      </c>
      <c r="G2992" t="s">
        <v>57</v>
      </c>
      <c r="H2992" s="1" t="s">
        <v>69</v>
      </c>
      <c r="I2992">
        <f>-19284/103356200/1</f>
        <v>-0.0001865780669180949</v>
      </c>
      <c r="J2992" t="s">
        <v>1656</v>
      </c>
      <c r="K2992" t="s">
        <v>197</v>
      </c>
      <c r="L2992" t="s">
        <v>1657</v>
      </c>
      <c r="N2992" t="s">
        <v>58</v>
      </c>
    </row>
    <row r="2993" spans="1:12" ht="15">
      <c r="A2993" s="4">
        <v>201404</v>
      </c>
      <c r="B2993" t="s">
        <v>1654</v>
      </c>
      <c r="C2993" s="5">
        <v>6475504</v>
      </c>
      <c r="D2993" s="2" t="s">
        <v>353</v>
      </c>
      <c r="E2993" s="2" t="s">
        <v>1478</v>
      </c>
      <c r="F2993" s="3">
        <v>57.67</v>
      </c>
      <c r="G2993" t="s">
        <v>329</v>
      </c>
      <c r="H2993" s="1" t="s">
        <v>69</v>
      </c>
      <c r="I2993" t="e">
        <f>-freight</f>
        <v>#NAME?</v>
      </c>
      <c r="J2993" t="s">
        <v>1656</v>
      </c>
      <c r="K2993" t="s">
        <v>197</v>
      </c>
      <c r="L2993" t="s">
        <v>1657</v>
      </c>
    </row>
    <row r="2994" spans="1:13" ht="15">
      <c r="A2994" s="4">
        <v>201403</v>
      </c>
      <c r="B2994" t="s">
        <v>1654</v>
      </c>
      <c r="C2994" s="5">
        <v>6504192</v>
      </c>
      <c r="D2994" s="2" t="s">
        <v>418</v>
      </c>
      <c r="E2994" s="2" t="s">
        <v>15</v>
      </c>
      <c r="F2994" s="3">
        <v>560</v>
      </c>
      <c r="G2994" t="s">
        <v>120</v>
      </c>
      <c r="H2994" s="1" t="s">
        <v>44</v>
      </c>
      <c r="I2994" t="e">
        <f>-labor-Fusion technician</f>
        <v>#NAME?</v>
      </c>
      <c r="J2994" t="s">
        <v>1656</v>
      </c>
      <c r="K2994" t="s">
        <v>197</v>
      </c>
      <c r="L2994" t="s">
        <v>1657</v>
      </c>
      <c r="M2994">
        <v>897598</v>
      </c>
    </row>
    <row r="2995" spans="1:14" ht="15">
      <c r="A2995" s="4">
        <v>201403</v>
      </c>
      <c r="B2995" t="s">
        <v>1654</v>
      </c>
      <c r="C2995" s="5">
        <v>6504192</v>
      </c>
      <c r="D2995" s="2" t="s">
        <v>418</v>
      </c>
      <c r="E2995" s="2" t="s">
        <v>15</v>
      </c>
      <c r="F2995" s="3">
        <v>32.85</v>
      </c>
      <c r="G2995" t="s">
        <v>57</v>
      </c>
      <c r="H2995" s="1" t="s">
        <v>78</v>
      </c>
      <c r="I2995">
        <f>-17138/1830/1</f>
        <v>-9.365027322404371</v>
      </c>
      <c r="J2995" t="s">
        <v>1656</v>
      </c>
      <c r="K2995" t="s">
        <v>197</v>
      </c>
      <c r="L2995" t="s">
        <v>1657</v>
      </c>
      <c r="N2995" t="s">
        <v>58</v>
      </c>
    </row>
    <row r="2996" spans="1:13" ht="15">
      <c r="A2996" s="4">
        <v>201403</v>
      </c>
      <c r="B2996" t="s">
        <v>1654</v>
      </c>
      <c r="C2996" s="5">
        <v>6504192</v>
      </c>
      <c r="D2996" s="2" t="s">
        <v>418</v>
      </c>
      <c r="E2996" s="2" t="s">
        <v>15</v>
      </c>
      <c r="F2996" s="3">
        <v>230.48</v>
      </c>
      <c r="G2996" t="s">
        <v>120</v>
      </c>
      <c r="H2996" s="1" t="s">
        <v>78</v>
      </c>
      <c r="I2996" t="s">
        <v>1682</v>
      </c>
      <c r="J2996" t="s">
        <v>1656</v>
      </c>
      <c r="K2996" t="s">
        <v>197</v>
      </c>
      <c r="L2996" t="s">
        <v>1657</v>
      </c>
      <c r="M2996">
        <v>897598</v>
      </c>
    </row>
    <row r="2997" spans="1:13" ht="15">
      <c r="A2997" s="4">
        <v>201403</v>
      </c>
      <c r="B2997" t="s">
        <v>1654</v>
      </c>
      <c r="C2997" s="5">
        <v>6504192</v>
      </c>
      <c r="D2997" s="2" t="s">
        <v>418</v>
      </c>
      <c r="E2997" s="2" t="s">
        <v>15</v>
      </c>
      <c r="F2997" s="3">
        <v>317.04</v>
      </c>
      <c r="G2997" t="s">
        <v>120</v>
      </c>
      <c r="H2997" s="1" t="s">
        <v>78</v>
      </c>
      <c r="I2997" t="s">
        <v>1683</v>
      </c>
      <c r="J2997" t="s">
        <v>1656</v>
      </c>
      <c r="K2997" t="s">
        <v>197</v>
      </c>
      <c r="L2997" t="s">
        <v>1657</v>
      </c>
      <c r="M2997">
        <v>897598</v>
      </c>
    </row>
    <row r="2998" spans="1:13" ht="15">
      <c r="A2998" s="4">
        <v>201401</v>
      </c>
      <c r="B2998" t="s">
        <v>1654</v>
      </c>
      <c r="C2998" s="5">
        <v>6514209</v>
      </c>
      <c r="D2998" s="2" t="s">
        <v>435</v>
      </c>
      <c r="E2998" s="2" t="s">
        <v>15</v>
      </c>
      <c r="F2998" s="3">
        <v>45.87</v>
      </c>
      <c r="G2998" t="s">
        <v>257</v>
      </c>
      <c r="H2998" s="1" t="s">
        <v>60</v>
      </c>
      <c r="I2998" t="e">
        <f>-SECONDARY KGD10 Clarkson</f>
        <v>#NAME?</v>
      </c>
      <c r="J2998" t="s">
        <v>1656</v>
      </c>
      <c r="K2998" t="s">
        <v>197</v>
      </c>
      <c r="L2998" t="s">
        <v>1657</v>
      </c>
      <c r="M2998">
        <v>894806</v>
      </c>
    </row>
    <row r="2999" spans="1:14" ht="15">
      <c r="A2999" s="4">
        <v>201401</v>
      </c>
      <c r="B2999" t="s">
        <v>1654</v>
      </c>
      <c r="C2999" s="5">
        <v>6514209</v>
      </c>
      <c r="D2999" s="2" t="s">
        <v>435</v>
      </c>
      <c r="E2999" s="2" t="s">
        <v>15</v>
      </c>
      <c r="F2999" s="3">
        <v>48.22</v>
      </c>
      <c r="G2999" t="s">
        <v>57</v>
      </c>
      <c r="H2999" s="1" t="s">
        <v>60</v>
      </c>
      <c r="I2999">
        <f>-70098/39554/1</f>
        <v>-1.772210143095515</v>
      </c>
      <c r="J2999" t="s">
        <v>1656</v>
      </c>
      <c r="K2999" t="s">
        <v>197</v>
      </c>
      <c r="L2999" t="s">
        <v>1657</v>
      </c>
      <c r="N2999" t="s">
        <v>58</v>
      </c>
    </row>
    <row r="3000" spans="1:13" ht="15">
      <c r="A3000" s="4">
        <v>201401</v>
      </c>
      <c r="B3000" t="s">
        <v>1654</v>
      </c>
      <c r="C3000" s="5">
        <v>6514209</v>
      </c>
      <c r="D3000" s="2" t="s">
        <v>435</v>
      </c>
      <c r="E3000" s="2" t="s">
        <v>15</v>
      </c>
      <c r="F3000" s="3">
        <v>757.76</v>
      </c>
      <c r="G3000" t="s">
        <v>257</v>
      </c>
      <c r="H3000" s="1" t="s">
        <v>60</v>
      </c>
      <c r="I3000" t="e">
        <f>-Sleeve KGD10 Clarkson</f>
        <v>#NAME?</v>
      </c>
      <c r="J3000" t="s">
        <v>1656</v>
      </c>
      <c r="K3000" t="s">
        <v>197</v>
      </c>
      <c r="L3000" t="s">
        <v>1657</v>
      </c>
      <c r="M3000">
        <v>894806</v>
      </c>
    </row>
    <row r="3001" spans="1:12" ht="15">
      <c r="A3001" s="4">
        <v>201401</v>
      </c>
      <c r="B3001" t="s">
        <v>1654</v>
      </c>
      <c r="C3001" s="5">
        <v>6514209</v>
      </c>
      <c r="D3001" s="2" t="s">
        <v>435</v>
      </c>
      <c r="E3001" s="2" t="s">
        <v>15</v>
      </c>
      <c r="F3001" s="3">
        <v>0.19</v>
      </c>
      <c r="H3001" s="1" t="s">
        <v>66</v>
      </c>
      <c r="I3001" t="s">
        <v>67</v>
      </c>
      <c r="J3001" t="s">
        <v>1656</v>
      </c>
      <c r="K3001" t="s">
        <v>197</v>
      </c>
      <c r="L3001" t="s">
        <v>1657</v>
      </c>
    </row>
    <row r="3002" spans="1:13" ht="15">
      <c r="A3002" s="4">
        <v>201405</v>
      </c>
      <c r="B3002" t="s">
        <v>1654</v>
      </c>
      <c r="C3002" s="5">
        <v>6535791</v>
      </c>
      <c r="D3002" s="2" t="s">
        <v>114</v>
      </c>
      <c r="E3002" s="2" t="s">
        <v>15</v>
      </c>
      <c r="F3002" s="3">
        <v>3414</v>
      </c>
      <c r="G3002" t="s">
        <v>119</v>
      </c>
      <c r="H3002" s="1" t="s">
        <v>44</v>
      </c>
      <c r="I3002" t="e">
        <f>-labor FOR wrapping IN A TEE and installing A VALVE on the LS supply line at TC2 FGD</f>
        <v>#NAME?</v>
      </c>
      <c r="J3002" t="s">
        <v>1656</v>
      </c>
      <c r="K3002" t="s">
        <v>197</v>
      </c>
      <c r="L3002" t="s">
        <v>1657</v>
      </c>
      <c r="M3002">
        <v>902607</v>
      </c>
    </row>
    <row r="3003" spans="1:13" ht="15">
      <c r="A3003" s="4">
        <v>201405</v>
      </c>
      <c r="B3003" t="s">
        <v>1654</v>
      </c>
      <c r="C3003" s="5">
        <v>6540330</v>
      </c>
      <c r="D3003" s="2" t="s">
        <v>1685</v>
      </c>
      <c r="E3003" s="2" t="s">
        <v>15</v>
      </c>
      <c r="F3003" s="3">
        <v>19500</v>
      </c>
      <c r="G3003" t="s">
        <v>1684</v>
      </c>
      <c r="H3003" s="1" t="s">
        <v>44</v>
      </c>
      <c r="I3003" t="e">
        <f>-LIQUID COLLECTION system Install</f>
        <v>#NAME?</v>
      </c>
      <c r="J3003" t="s">
        <v>1656</v>
      </c>
      <c r="K3003" t="s">
        <v>197</v>
      </c>
      <c r="L3003" t="s">
        <v>1657</v>
      </c>
      <c r="M3003">
        <v>901407</v>
      </c>
    </row>
    <row r="3004" spans="1:13" ht="15">
      <c r="A3004" s="4">
        <v>201405</v>
      </c>
      <c r="B3004" t="s">
        <v>1654</v>
      </c>
      <c r="C3004" s="5">
        <v>6540330</v>
      </c>
      <c r="D3004" s="2" t="s">
        <v>1685</v>
      </c>
      <c r="E3004" s="2" t="s">
        <v>15</v>
      </c>
      <c r="F3004" s="3">
        <v>24177</v>
      </c>
      <c r="G3004" t="s">
        <v>1684</v>
      </c>
      <c r="H3004" s="1" t="s">
        <v>44</v>
      </c>
      <c r="I3004" t="s">
        <v>1686</v>
      </c>
      <c r="J3004" t="s">
        <v>1656</v>
      </c>
      <c r="K3004" t="s">
        <v>197</v>
      </c>
      <c r="L3004" t="s">
        <v>1657</v>
      </c>
      <c r="M3004">
        <v>901407</v>
      </c>
    </row>
    <row r="3005" spans="1:13" ht="15">
      <c r="A3005" s="4">
        <v>201408</v>
      </c>
      <c r="B3005" t="s">
        <v>1654</v>
      </c>
      <c r="C3005" s="5">
        <v>6540330</v>
      </c>
      <c r="D3005" s="2" t="s">
        <v>1685</v>
      </c>
      <c r="E3005" s="2" t="s">
        <v>15</v>
      </c>
      <c r="F3005" s="3">
        <v>14900</v>
      </c>
      <c r="G3005" t="s">
        <v>1684</v>
      </c>
      <c r="H3005" s="1" t="s">
        <v>78</v>
      </c>
      <c r="I3005" t="s">
        <v>1687</v>
      </c>
      <c r="J3005" t="s">
        <v>1656</v>
      </c>
      <c r="K3005" t="s">
        <v>197</v>
      </c>
      <c r="L3005" t="s">
        <v>1657</v>
      </c>
      <c r="M3005">
        <v>904053</v>
      </c>
    </row>
    <row r="3006" spans="1:12" ht="15">
      <c r="A3006" s="4">
        <v>201405</v>
      </c>
      <c r="B3006" t="s">
        <v>1654</v>
      </c>
      <c r="C3006" s="5">
        <v>6555047</v>
      </c>
      <c r="D3006" s="2" t="s">
        <v>1688</v>
      </c>
      <c r="E3006" s="2" t="s">
        <v>15</v>
      </c>
      <c r="F3006" s="3">
        <v>0.45</v>
      </c>
      <c r="H3006" s="1" t="s">
        <v>66</v>
      </c>
      <c r="I3006" t="s">
        <v>67</v>
      </c>
      <c r="J3006" t="s">
        <v>1656</v>
      </c>
      <c r="K3006" t="s">
        <v>197</v>
      </c>
      <c r="L3006" t="s">
        <v>1657</v>
      </c>
    </row>
    <row r="3007" spans="1:12" ht="15">
      <c r="A3007" s="4">
        <v>201405</v>
      </c>
      <c r="B3007" t="s">
        <v>1654</v>
      </c>
      <c r="C3007" s="5">
        <v>6568072</v>
      </c>
      <c r="D3007" s="2" t="s">
        <v>1689</v>
      </c>
      <c r="E3007" s="2" t="s">
        <v>15</v>
      </c>
      <c r="F3007" s="3">
        <v>0.1</v>
      </c>
      <c r="H3007" s="1" t="s">
        <v>66</v>
      </c>
      <c r="I3007" t="s">
        <v>67</v>
      </c>
      <c r="J3007" t="s">
        <v>1656</v>
      </c>
      <c r="K3007" t="s">
        <v>197</v>
      </c>
      <c r="L3007" t="s">
        <v>1657</v>
      </c>
    </row>
    <row r="3008" spans="1:12" ht="15">
      <c r="A3008" s="4">
        <v>201410</v>
      </c>
      <c r="B3008" t="s">
        <v>1654</v>
      </c>
      <c r="C3008" s="5">
        <v>6594948</v>
      </c>
      <c r="D3008" s="2" t="s">
        <v>1691</v>
      </c>
      <c r="E3008" s="2" t="s">
        <v>169</v>
      </c>
      <c r="F3008" s="3">
        <v>47.1</v>
      </c>
      <c r="H3008" s="1" t="s">
        <v>14</v>
      </c>
      <c r="I3008" t="s">
        <v>1690</v>
      </c>
      <c r="J3008" t="s">
        <v>1656</v>
      </c>
      <c r="K3008" t="s">
        <v>197</v>
      </c>
      <c r="L3008" t="s">
        <v>1657</v>
      </c>
    </row>
    <row r="3009" spans="1:12" ht="15">
      <c r="A3009" s="4">
        <v>201410</v>
      </c>
      <c r="B3009" t="s">
        <v>1654</v>
      </c>
      <c r="C3009" s="5">
        <v>6594948</v>
      </c>
      <c r="D3009" s="2" t="s">
        <v>1691</v>
      </c>
      <c r="E3009" s="2" t="s">
        <v>169</v>
      </c>
      <c r="F3009" s="3">
        <v>523.5</v>
      </c>
      <c r="H3009" s="1" t="s">
        <v>14</v>
      </c>
      <c r="I3009" t="s">
        <v>1692</v>
      </c>
      <c r="J3009" t="s">
        <v>1656</v>
      </c>
      <c r="K3009" t="s">
        <v>197</v>
      </c>
      <c r="L3009" t="s">
        <v>1657</v>
      </c>
    </row>
    <row r="3010" spans="1:13" ht="15">
      <c r="A3010" s="4">
        <v>201411</v>
      </c>
      <c r="B3010" t="s">
        <v>1654</v>
      </c>
      <c r="C3010" s="5">
        <v>6594948</v>
      </c>
      <c r="D3010" s="2" t="s">
        <v>1691</v>
      </c>
      <c r="E3010" s="2" t="s">
        <v>169</v>
      </c>
      <c r="F3010" s="3">
        <v>321.71</v>
      </c>
      <c r="G3010" t="s">
        <v>119</v>
      </c>
      <c r="H3010" s="1" t="s">
        <v>46</v>
      </c>
      <c r="I3010" t="s">
        <v>1693</v>
      </c>
      <c r="J3010" t="s">
        <v>1656</v>
      </c>
      <c r="K3010" t="s">
        <v>197</v>
      </c>
      <c r="L3010" t="s">
        <v>1657</v>
      </c>
      <c r="M3010">
        <v>917873</v>
      </c>
    </row>
    <row r="3011" spans="1:12" ht="15">
      <c r="A3011" s="4">
        <v>201410</v>
      </c>
      <c r="B3011" t="s">
        <v>1654</v>
      </c>
      <c r="C3011" s="5">
        <v>6594948</v>
      </c>
      <c r="D3011" s="2" t="s">
        <v>1691</v>
      </c>
      <c r="E3011" s="2" t="s">
        <v>169</v>
      </c>
      <c r="F3011" s="3">
        <v>1.17</v>
      </c>
      <c r="H3011" s="1" t="s">
        <v>66</v>
      </c>
      <c r="I3011" t="s">
        <v>67</v>
      </c>
      <c r="J3011" t="s">
        <v>1656</v>
      </c>
      <c r="K3011" t="s">
        <v>197</v>
      </c>
      <c r="L3011" t="s">
        <v>1657</v>
      </c>
    </row>
    <row r="3012" spans="1:12" ht="15">
      <c r="A3012" s="4">
        <v>201412</v>
      </c>
      <c r="B3012" t="s">
        <v>1654</v>
      </c>
      <c r="C3012" s="5">
        <v>6594948</v>
      </c>
      <c r="D3012" s="2" t="s">
        <v>1691</v>
      </c>
      <c r="E3012" s="2" t="s">
        <v>169</v>
      </c>
      <c r="F3012" s="3">
        <v>1.82</v>
      </c>
      <c r="H3012" s="1" t="s">
        <v>66</v>
      </c>
      <c r="I3012" t="s">
        <v>67</v>
      </c>
      <c r="J3012" t="s">
        <v>1656</v>
      </c>
      <c r="K3012" t="s">
        <v>197</v>
      </c>
      <c r="L3012" t="s">
        <v>1657</v>
      </c>
    </row>
    <row r="3013" spans="1:12" ht="15">
      <c r="A3013" s="4">
        <v>201412</v>
      </c>
      <c r="B3013" t="s">
        <v>1654</v>
      </c>
      <c r="C3013" s="5">
        <v>6607600</v>
      </c>
      <c r="D3013" s="2" t="s">
        <v>1694</v>
      </c>
      <c r="E3013" s="2" t="s">
        <v>99</v>
      </c>
      <c r="F3013" s="3">
        <v>7.31</v>
      </c>
      <c r="H3013" s="1" t="s">
        <v>14</v>
      </c>
      <c r="I3013" t="s">
        <v>88</v>
      </c>
      <c r="J3013" t="s">
        <v>1656</v>
      </c>
      <c r="K3013" t="s">
        <v>197</v>
      </c>
      <c r="L3013" t="s">
        <v>1657</v>
      </c>
    </row>
    <row r="3014" spans="1:12" ht="15">
      <c r="A3014" s="4">
        <v>201412</v>
      </c>
      <c r="B3014" t="s">
        <v>1654</v>
      </c>
      <c r="C3014" s="5">
        <v>6607600</v>
      </c>
      <c r="D3014" s="2" t="s">
        <v>1694</v>
      </c>
      <c r="E3014" s="2" t="s">
        <v>99</v>
      </c>
      <c r="F3014" s="3">
        <v>247.86</v>
      </c>
      <c r="H3014" s="1" t="s">
        <v>14</v>
      </c>
      <c r="I3014" t="s">
        <v>1695</v>
      </c>
      <c r="J3014" t="s">
        <v>1656</v>
      </c>
      <c r="K3014" t="s">
        <v>197</v>
      </c>
      <c r="L3014" t="s">
        <v>1657</v>
      </c>
    </row>
    <row r="3015" spans="1:12" ht="15">
      <c r="A3015" s="4">
        <v>201412</v>
      </c>
      <c r="B3015" t="s">
        <v>1654</v>
      </c>
      <c r="C3015" s="5">
        <v>6607600</v>
      </c>
      <c r="D3015" s="2" t="s">
        <v>1694</v>
      </c>
      <c r="E3015" s="2" t="s">
        <v>99</v>
      </c>
      <c r="F3015" s="3">
        <v>7.96</v>
      </c>
      <c r="H3015" s="1" t="s">
        <v>66</v>
      </c>
      <c r="I3015" t="s">
        <v>67</v>
      </c>
      <c r="J3015" t="s">
        <v>1656</v>
      </c>
      <c r="K3015" t="s">
        <v>197</v>
      </c>
      <c r="L3015" t="s">
        <v>1657</v>
      </c>
    </row>
    <row r="3016" spans="1:12" ht="15">
      <c r="A3016" s="4">
        <v>201405</v>
      </c>
      <c r="B3016" t="s">
        <v>1696</v>
      </c>
      <c r="C3016" s="5">
        <v>6544769</v>
      </c>
      <c r="D3016" s="2" t="s">
        <v>1699</v>
      </c>
      <c r="E3016" s="2" t="s">
        <v>15</v>
      </c>
      <c r="F3016" s="3">
        <v>36</v>
      </c>
      <c r="H3016" s="1" t="s">
        <v>14</v>
      </c>
      <c r="I3016" t="s">
        <v>701</v>
      </c>
      <c r="J3016" t="s">
        <v>1697</v>
      </c>
      <c r="K3016" t="s">
        <v>197</v>
      </c>
      <c r="L3016" t="s">
        <v>1698</v>
      </c>
    </row>
    <row r="3017" spans="1:12" ht="15">
      <c r="A3017" s="4">
        <v>201405</v>
      </c>
      <c r="B3017" t="s">
        <v>1696</v>
      </c>
      <c r="C3017" s="5">
        <v>6544769</v>
      </c>
      <c r="D3017" s="2" t="s">
        <v>1699</v>
      </c>
      <c r="E3017" s="2" t="s">
        <v>15</v>
      </c>
      <c r="F3017" s="3">
        <v>38.65</v>
      </c>
      <c r="H3017" s="1" t="s">
        <v>14</v>
      </c>
      <c r="I3017" t="s">
        <v>35</v>
      </c>
      <c r="J3017" t="s">
        <v>1697</v>
      </c>
      <c r="K3017" t="s">
        <v>197</v>
      </c>
      <c r="L3017" t="s">
        <v>1698</v>
      </c>
    </row>
    <row r="3018" spans="1:13" ht="15">
      <c r="A3018" s="4">
        <v>201405</v>
      </c>
      <c r="B3018" t="s">
        <v>1696</v>
      </c>
      <c r="C3018" s="5">
        <v>6544769</v>
      </c>
      <c r="D3018" s="2" t="s">
        <v>1699</v>
      </c>
      <c r="E3018" s="2" t="s">
        <v>15</v>
      </c>
      <c r="F3018" s="3">
        <v>8751.68</v>
      </c>
      <c r="G3018" t="s">
        <v>49</v>
      </c>
      <c r="H3018" s="1" t="s">
        <v>44</v>
      </c>
      <c r="I3018" t="e">
        <f>-labor/MATERIAL-Cost TO Run CABLE and TUBING from the Stack sample landing TO the TC1 and TC2 CEM shelters</f>
        <v>#NAME?</v>
      </c>
      <c r="J3018" t="s">
        <v>1697</v>
      </c>
      <c r="K3018" t="s">
        <v>197</v>
      </c>
      <c r="L3018" t="s">
        <v>1698</v>
      </c>
      <c r="M3018">
        <v>903532</v>
      </c>
    </row>
    <row r="3019" spans="1:13" ht="15">
      <c r="A3019" s="4">
        <v>201406</v>
      </c>
      <c r="B3019" t="s">
        <v>1696</v>
      </c>
      <c r="C3019" s="5">
        <v>6544769</v>
      </c>
      <c r="D3019" s="2" t="s">
        <v>1699</v>
      </c>
      <c r="E3019" s="2" t="s">
        <v>15</v>
      </c>
      <c r="F3019" s="3">
        <v>7047.86</v>
      </c>
      <c r="G3019" t="s">
        <v>45</v>
      </c>
      <c r="H3019" s="1" t="s">
        <v>44</v>
      </c>
      <c r="I3019" t="s">
        <v>1700</v>
      </c>
      <c r="J3019" t="s">
        <v>1697</v>
      </c>
      <c r="K3019" t="s">
        <v>197</v>
      </c>
      <c r="L3019" t="s">
        <v>1698</v>
      </c>
      <c r="M3019">
        <v>904158</v>
      </c>
    </row>
    <row r="3020" spans="1:14" ht="15">
      <c r="A3020" s="4">
        <v>201403</v>
      </c>
      <c r="B3020" t="s">
        <v>1696</v>
      </c>
      <c r="C3020" s="5">
        <v>6544769</v>
      </c>
      <c r="D3020" s="2" t="s">
        <v>1699</v>
      </c>
      <c r="E3020" s="2" t="s">
        <v>15</v>
      </c>
      <c r="F3020" s="3">
        <v>116.82</v>
      </c>
      <c r="G3020" t="s">
        <v>57</v>
      </c>
      <c r="H3020" s="1" t="s">
        <v>60</v>
      </c>
      <c r="I3020">
        <f>-56489/30549044/1</f>
        <v>-0.0018491249677076637</v>
      </c>
      <c r="J3020" t="s">
        <v>1697</v>
      </c>
      <c r="K3020" t="s">
        <v>197</v>
      </c>
      <c r="L3020" t="s">
        <v>1698</v>
      </c>
      <c r="N3020" t="s">
        <v>58</v>
      </c>
    </row>
    <row r="3021" spans="1:13" ht="15">
      <c r="A3021" s="4">
        <v>201403</v>
      </c>
      <c r="B3021" t="s">
        <v>1696</v>
      </c>
      <c r="C3021" s="5">
        <v>6544769</v>
      </c>
      <c r="D3021" s="2" t="s">
        <v>1699</v>
      </c>
      <c r="E3021" s="2" t="s">
        <v>15</v>
      </c>
      <c r="F3021" s="3">
        <v>1947</v>
      </c>
      <c r="G3021" t="s">
        <v>1701</v>
      </c>
      <c r="H3021" s="1" t="s">
        <v>60</v>
      </c>
      <c r="I3021" t="s">
        <v>1702</v>
      </c>
      <c r="J3021" t="s">
        <v>1697</v>
      </c>
      <c r="K3021" t="s">
        <v>197</v>
      </c>
      <c r="L3021" t="s">
        <v>1698</v>
      </c>
      <c r="M3021">
        <v>900656</v>
      </c>
    </row>
    <row r="3022" spans="1:14" ht="15">
      <c r="A3022" s="4">
        <v>201404</v>
      </c>
      <c r="B3022" t="s">
        <v>1696</v>
      </c>
      <c r="C3022" s="5">
        <v>6544769</v>
      </c>
      <c r="D3022" s="2" t="s">
        <v>1699</v>
      </c>
      <c r="E3022" s="2" t="s">
        <v>15</v>
      </c>
      <c r="F3022" s="3">
        <v>46.42</v>
      </c>
      <c r="G3022" t="s">
        <v>57</v>
      </c>
      <c r="H3022" s="1" t="s">
        <v>60</v>
      </c>
      <c r="I3022">
        <f>-40906/1404556142/1</f>
        <v>-2.9123791336494686E-05</v>
      </c>
      <c r="J3022" t="s">
        <v>1697</v>
      </c>
      <c r="K3022" t="s">
        <v>197</v>
      </c>
      <c r="L3022" t="s">
        <v>1698</v>
      </c>
      <c r="N3022" t="s">
        <v>58</v>
      </c>
    </row>
    <row r="3023" spans="1:14" ht="15">
      <c r="A3023" s="4">
        <v>201404</v>
      </c>
      <c r="B3023" t="s">
        <v>1696</v>
      </c>
      <c r="C3023" s="5">
        <v>6544769</v>
      </c>
      <c r="D3023" s="2" t="s">
        <v>1699</v>
      </c>
      <c r="E3023" s="2" t="s">
        <v>15</v>
      </c>
      <c r="F3023" s="3">
        <v>56.38</v>
      </c>
      <c r="G3023" t="s">
        <v>57</v>
      </c>
      <c r="H3023" s="1" t="s">
        <v>60</v>
      </c>
      <c r="I3023">
        <f>-40906/1404556015/1</f>
        <v>-2.9123793969868833E-05</v>
      </c>
      <c r="J3023" t="s">
        <v>1697</v>
      </c>
      <c r="K3023" t="s">
        <v>197</v>
      </c>
      <c r="L3023" t="s">
        <v>1698</v>
      </c>
      <c r="N3023" t="s">
        <v>58</v>
      </c>
    </row>
    <row r="3024" spans="1:13" ht="15">
      <c r="A3024" s="4">
        <v>201404</v>
      </c>
      <c r="B3024" t="s">
        <v>1696</v>
      </c>
      <c r="C3024" s="5">
        <v>6544769</v>
      </c>
      <c r="D3024" s="2" t="s">
        <v>1699</v>
      </c>
      <c r="E3024" s="2" t="s">
        <v>15</v>
      </c>
      <c r="F3024" s="3">
        <v>111.75</v>
      </c>
      <c r="G3024" t="s">
        <v>59</v>
      </c>
      <c r="H3024" s="1" t="s">
        <v>60</v>
      </c>
      <c r="I3024" t="s">
        <v>1703</v>
      </c>
      <c r="J3024" t="s">
        <v>1697</v>
      </c>
      <c r="K3024" t="s">
        <v>197</v>
      </c>
      <c r="L3024" t="s">
        <v>1698</v>
      </c>
      <c r="M3024">
        <v>903576</v>
      </c>
    </row>
    <row r="3025" spans="1:13" ht="15">
      <c r="A3025" s="4">
        <v>201404</v>
      </c>
      <c r="B3025" t="s">
        <v>1696</v>
      </c>
      <c r="C3025" s="5">
        <v>6544769</v>
      </c>
      <c r="D3025" s="2" t="s">
        <v>1699</v>
      </c>
      <c r="E3025" s="2" t="s">
        <v>15</v>
      </c>
      <c r="F3025" s="3">
        <v>204.44</v>
      </c>
      <c r="G3025" t="s">
        <v>59</v>
      </c>
      <c r="H3025" s="1" t="s">
        <v>60</v>
      </c>
      <c r="I3025" t="s">
        <v>1704</v>
      </c>
      <c r="J3025" t="s">
        <v>1697</v>
      </c>
      <c r="K3025" t="s">
        <v>197</v>
      </c>
      <c r="L3025" t="s">
        <v>1698</v>
      </c>
      <c r="M3025">
        <v>903576</v>
      </c>
    </row>
    <row r="3026" spans="1:13" ht="15">
      <c r="A3026" s="4">
        <v>201404</v>
      </c>
      <c r="B3026" t="s">
        <v>1696</v>
      </c>
      <c r="C3026" s="5">
        <v>6544769</v>
      </c>
      <c r="D3026" s="2" t="s">
        <v>1699</v>
      </c>
      <c r="E3026" s="2" t="s">
        <v>15</v>
      </c>
      <c r="F3026" s="3">
        <v>457.28</v>
      </c>
      <c r="G3026" t="s">
        <v>59</v>
      </c>
      <c r="H3026" s="1" t="s">
        <v>60</v>
      </c>
      <c r="I3026" t="s">
        <v>1705</v>
      </c>
      <c r="J3026" t="s">
        <v>1697</v>
      </c>
      <c r="K3026" t="s">
        <v>197</v>
      </c>
      <c r="L3026" t="s">
        <v>1698</v>
      </c>
      <c r="M3026">
        <v>903576</v>
      </c>
    </row>
    <row r="3027" spans="1:13" ht="15">
      <c r="A3027" s="4">
        <v>201404</v>
      </c>
      <c r="B3027" t="s">
        <v>1696</v>
      </c>
      <c r="C3027" s="5">
        <v>6544769</v>
      </c>
      <c r="D3027" s="2" t="s">
        <v>1699</v>
      </c>
      <c r="E3027" s="2" t="s">
        <v>15</v>
      </c>
      <c r="F3027" s="3">
        <v>939.74</v>
      </c>
      <c r="G3027" t="s">
        <v>59</v>
      </c>
      <c r="H3027" s="1" t="s">
        <v>60</v>
      </c>
      <c r="I3027" t="s">
        <v>1706</v>
      </c>
      <c r="J3027" t="s">
        <v>1697</v>
      </c>
      <c r="K3027" t="s">
        <v>197</v>
      </c>
      <c r="L3027" t="s">
        <v>1698</v>
      </c>
      <c r="M3027">
        <v>903576</v>
      </c>
    </row>
    <row r="3028" spans="1:13" ht="15">
      <c r="A3028" s="4">
        <v>201405</v>
      </c>
      <c r="B3028" t="s">
        <v>1696</v>
      </c>
      <c r="C3028" s="5">
        <v>6544769</v>
      </c>
      <c r="D3028" s="2" t="s">
        <v>1699</v>
      </c>
      <c r="E3028" s="2" t="s">
        <v>15</v>
      </c>
      <c r="F3028" s="3">
        <v>-4.7</v>
      </c>
      <c r="G3028" t="s">
        <v>59</v>
      </c>
      <c r="H3028" s="1" t="s">
        <v>60</v>
      </c>
      <c r="I3028" t="s">
        <v>1706</v>
      </c>
      <c r="J3028" t="s">
        <v>1697</v>
      </c>
      <c r="K3028" t="s">
        <v>197</v>
      </c>
      <c r="L3028" t="s">
        <v>1698</v>
      </c>
      <c r="M3028">
        <v>903576</v>
      </c>
    </row>
    <row r="3029" spans="1:13" ht="15">
      <c r="A3029" s="4">
        <v>201405</v>
      </c>
      <c r="B3029" t="s">
        <v>1696</v>
      </c>
      <c r="C3029" s="5">
        <v>6544769</v>
      </c>
      <c r="D3029" s="2" t="s">
        <v>1699</v>
      </c>
      <c r="E3029" s="2" t="s">
        <v>15</v>
      </c>
      <c r="F3029" s="3">
        <v>-2.29</v>
      </c>
      <c r="G3029" t="s">
        <v>59</v>
      </c>
      <c r="H3029" s="1" t="s">
        <v>60</v>
      </c>
      <c r="I3029" t="s">
        <v>1705</v>
      </c>
      <c r="J3029" t="s">
        <v>1697</v>
      </c>
      <c r="K3029" t="s">
        <v>197</v>
      </c>
      <c r="L3029" t="s">
        <v>1698</v>
      </c>
      <c r="M3029">
        <v>903576</v>
      </c>
    </row>
    <row r="3030" spans="1:13" ht="15">
      <c r="A3030" s="4">
        <v>201405</v>
      </c>
      <c r="B3030" t="s">
        <v>1696</v>
      </c>
      <c r="C3030" s="5">
        <v>6544769</v>
      </c>
      <c r="D3030" s="2" t="s">
        <v>1699</v>
      </c>
      <c r="E3030" s="2" t="s">
        <v>15</v>
      </c>
      <c r="F3030" s="3">
        <v>-1.02</v>
      </c>
      <c r="G3030" t="s">
        <v>59</v>
      </c>
      <c r="H3030" s="1" t="s">
        <v>60</v>
      </c>
      <c r="I3030" t="s">
        <v>1704</v>
      </c>
      <c r="J3030" t="s">
        <v>1697</v>
      </c>
      <c r="K3030" t="s">
        <v>197</v>
      </c>
      <c r="L3030" t="s">
        <v>1698</v>
      </c>
      <c r="M3030">
        <v>903576</v>
      </c>
    </row>
    <row r="3031" spans="1:13" ht="15">
      <c r="A3031" s="4">
        <v>201405</v>
      </c>
      <c r="B3031" t="s">
        <v>1696</v>
      </c>
      <c r="C3031" s="5">
        <v>6544769</v>
      </c>
      <c r="D3031" s="2" t="s">
        <v>1699</v>
      </c>
      <c r="E3031" s="2" t="s">
        <v>15</v>
      </c>
      <c r="F3031" s="3">
        <v>-0.56</v>
      </c>
      <c r="G3031" t="s">
        <v>59</v>
      </c>
      <c r="H3031" s="1" t="s">
        <v>60</v>
      </c>
      <c r="I3031" t="s">
        <v>1703</v>
      </c>
      <c r="J3031" t="s">
        <v>1697</v>
      </c>
      <c r="K3031" t="s">
        <v>197</v>
      </c>
      <c r="L3031" t="s">
        <v>1698</v>
      </c>
      <c r="M3031">
        <v>903576</v>
      </c>
    </row>
    <row r="3032" spans="1:14" ht="15">
      <c r="A3032" s="4">
        <v>201405</v>
      </c>
      <c r="B3032" t="s">
        <v>1696</v>
      </c>
      <c r="C3032" s="5">
        <v>6544769</v>
      </c>
      <c r="D3032" s="2" t="s">
        <v>1699</v>
      </c>
      <c r="E3032" s="2" t="s">
        <v>15</v>
      </c>
      <c r="F3032" s="3">
        <v>27.85</v>
      </c>
      <c r="G3032" t="s">
        <v>57</v>
      </c>
      <c r="H3032" s="1" t="s">
        <v>60</v>
      </c>
      <c r="I3032">
        <f>-40906/1405557312/1</f>
        <v>-2.9103046635497136E-05</v>
      </c>
      <c r="J3032" t="s">
        <v>1697</v>
      </c>
      <c r="K3032" t="s">
        <v>197</v>
      </c>
      <c r="L3032" t="s">
        <v>1698</v>
      </c>
      <c r="N3032" t="s">
        <v>58</v>
      </c>
    </row>
    <row r="3033" spans="1:13" ht="15">
      <c r="A3033" s="4">
        <v>201405</v>
      </c>
      <c r="B3033" t="s">
        <v>1696</v>
      </c>
      <c r="C3033" s="5">
        <v>6544769</v>
      </c>
      <c r="D3033" s="2" t="s">
        <v>1699</v>
      </c>
      <c r="E3033" s="2" t="s">
        <v>15</v>
      </c>
      <c r="F3033" s="3">
        <v>174.13</v>
      </c>
      <c r="G3033" t="s">
        <v>59</v>
      </c>
      <c r="H3033" s="1" t="s">
        <v>60</v>
      </c>
      <c r="I3033" t="s">
        <v>1707</v>
      </c>
      <c r="J3033" t="s">
        <v>1697</v>
      </c>
      <c r="K3033" t="s">
        <v>197</v>
      </c>
      <c r="L3033" t="s">
        <v>1698</v>
      </c>
      <c r="M3033">
        <v>904911</v>
      </c>
    </row>
    <row r="3034" spans="1:13" ht="15">
      <c r="A3034" s="4">
        <v>201405</v>
      </c>
      <c r="B3034" t="s">
        <v>1696</v>
      </c>
      <c r="C3034" s="5">
        <v>6544769</v>
      </c>
      <c r="D3034" s="2" t="s">
        <v>1699</v>
      </c>
      <c r="E3034" s="2" t="s">
        <v>15</v>
      </c>
      <c r="F3034" s="3">
        <v>287.68</v>
      </c>
      <c r="G3034" t="s">
        <v>59</v>
      </c>
      <c r="H3034" s="1" t="s">
        <v>60</v>
      </c>
      <c r="I3034" t="s">
        <v>1708</v>
      </c>
      <c r="J3034" t="s">
        <v>1697</v>
      </c>
      <c r="K3034" t="s">
        <v>197</v>
      </c>
      <c r="L3034" t="s">
        <v>1698</v>
      </c>
      <c r="M3034">
        <v>904911</v>
      </c>
    </row>
    <row r="3035" spans="1:14" ht="15">
      <c r="A3035" s="4">
        <v>201401</v>
      </c>
      <c r="B3035" t="s">
        <v>1709</v>
      </c>
      <c r="C3035" s="5">
        <v>6414676</v>
      </c>
      <c r="D3035" s="2" t="s">
        <v>1712</v>
      </c>
      <c r="E3035" s="2" t="s">
        <v>15</v>
      </c>
      <c r="F3035" s="3">
        <v>-3492</v>
      </c>
      <c r="G3035" t="s">
        <v>1710</v>
      </c>
      <c r="H3035" s="1" t="s">
        <v>44</v>
      </c>
      <c r="I3035" t="e">
        <f>-Evaluate Mark VI grounding on TC2</f>
        <v>#NAME?</v>
      </c>
      <c r="J3035" t="s">
        <v>1711</v>
      </c>
      <c r="K3035" t="s">
        <v>1303</v>
      </c>
      <c r="L3035" t="s">
        <v>1323</v>
      </c>
      <c r="M3035">
        <v>886966</v>
      </c>
      <c r="N3035" t="s">
        <v>1713</v>
      </c>
    </row>
    <row r="3036" spans="1:14" ht="15">
      <c r="A3036" s="4">
        <v>201401</v>
      </c>
      <c r="B3036" t="s">
        <v>1709</v>
      </c>
      <c r="C3036" s="5">
        <v>6414676</v>
      </c>
      <c r="D3036" s="2" t="s">
        <v>1712</v>
      </c>
      <c r="E3036" s="2" t="s">
        <v>15</v>
      </c>
      <c r="F3036" s="3">
        <v>209.52</v>
      </c>
      <c r="G3036" t="s">
        <v>57</v>
      </c>
      <c r="H3036" s="1" t="s">
        <v>44</v>
      </c>
      <c r="I3036">
        <f>-22983/16025365/1</f>
        <v>-0.0014341639020390487</v>
      </c>
      <c r="J3036" t="s">
        <v>1711</v>
      </c>
      <c r="K3036" t="s">
        <v>1303</v>
      </c>
      <c r="L3036" t="s">
        <v>1323</v>
      </c>
      <c r="N3036" t="s">
        <v>58</v>
      </c>
    </row>
    <row r="3037" spans="1:13" ht="15">
      <c r="A3037" s="4">
        <v>201401</v>
      </c>
      <c r="B3037" t="s">
        <v>1709</v>
      </c>
      <c r="C3037" s="5">
        <v>6414676</v>
      </c>
      <c r="D3037" s="2" t="s">
        <v>1712</v>
      </c>
      <c r="E3037" s="2" t="s">
        <v>15</v>
      </c>
      <c r="F3037" s="3">
        <v>3492</v>
      </c>
      <c r="G3037" t="s">
        <v>1714</v>
      </c>
      <c r="H3037" s="1" t="s">
        <v>44</v>
      </c>
      <c r="I3037" t="e">
        <f>-labor-Evaluate MARV VI grounding on TC2</f>
        <v>#NAME?</v>
      </c>
      <c r="J3037" t="s">
        <v>1711</v>
      </c>
      <c r="K3037" t="s">
        <v>1303</v>
      </c>
      <c r="L3037" t="s">
        <v>1323</v>
      </c>
      <c r="M3037">
        <v>897243</v>
      </c>
    </row>
    <row r="3038" spans="1:13" ht="15">
      <c r="A3038" s="4">
        <v>201404</v>
      </c>
      <c r="B3038" t="s">
        <v>1709</v>
      </c>
      <c r="C3038" s="5">
        <v>6475510</v>
      </c>
      <c r="D3038" s="2" t="s">
        <v>1715</v>
      </c>
      <c r="E3038" s="2" t="s">
        <v>15</v>
      </c>
      <c r="F3038" s="3">
        <v>300</v>
      </c>
      <c r="G3038" t="s">
        <v>49</v>
      </c>
      <c r="H3038" s="1" t="s">
        <v>78</v>
      </c>
      <c r="I3038" t="s">
        <v>792</v>
      </c>
      <c r="J3038" t="s">
        <v>1711</v>
      </c>
      <c r="K3038" t="s">
        <v>1303</v>
      </c>
      <c r="L3038" t="s">
        <v>1323</v>
      </c>
      <c r="M3038">
        <v>903434</v>
      </c>
    </row>
    <row r="3039" spans="1:13" ht="15">
      <c r="A3039" s="4">
        <v>201404</v>
      </c>
      <c r="B3039" t="s">
        <v>1709</v>
      </c>
      <c r="C3039" s="5">
        <v>6475510</v>
      </c>
      <c r="D3039" s="2" t="s">
        <v>1715</v>
      </c>
      <c r="E3039" s="2" t="s">
        <v>15</v>
      </c>
      <c r="F3039" s="3">
        <v>2032.88</v>
      </c>
      <c r="G3039" t="s">
        <v>49</v>
      </c>
      <c r="H3039" s="1" t="s">
        <v>46</v>
      </c>
      <c r="I3039" t="s">
        <v>792</v>
      </c>
      <c r="J3039" t="s">
        <v>1711</v>
      </c>
      <c r="K3039" t="s">
        <v>1303</v>
      </c>
      <c r="L3039" t="s">
        <v>1323</v>
      </c>
      <c r="M3039">
        <v>903434</v>
      </c>
    </row>
    <row r="3040" spans="1:14" ht="15">
      <c r="A3040" s="4">
        <v>201405</v>
      </c>
      <c r="B3040" t="s">
        <v>1709</v>
      </c>
      <c r="C3040" s="5">
        <v>6475510</v>
      </c>
      <c r="D3040" s="2" t="s">
        <v>1715</v>
      </c>
      <c r="E3040" s="2" t="s">
        <v>15</v>
      </c>
      <c r="F3040" s="3">
        <v>176.36</v>
      </c>
      <c r="G3040" t="s">
        <v>1716</v>
      </c>
      <c r="H3040" s="1" t="s">
        <v>1389</v>
      </c>
      <c r="I3040" t="e">
        <f>-Lodging</f>
        <v>#NAME?</v>
      </c>
      <c r="J3040" t="s">
        <v>1711</v>
      </c>
      <c r="K3040" t="s">
        <v>1303</v>
      </c>
      <c r="L3040" t="s">
        <v>1323</v>
      </c>
      <c r="N3040" t="s">
        <v>82</v>
      </c>
    </row>
    <row r="3041" spans="1:13" ht="15">
      <c r="A3041" s="4">
        <v>201405</v>
      </c>
      <c r="B3041" t="s">
        <v>1709</v>
      </c>
      <c r="C3041" s="5">
        <v>6501962</v>
      </c>
      <c r="D3041" s="2" t="s">
        <v>1717</v>
      </c>
      <c r="E3041" s="2" t="s">
        <v>15</v>
      </c>
      <c r="F3041" s="3">
        <v>1514.13</v>
      </c>
      <c r="G3041" t="s">
        <v>73</v>
      </c>
      <c r="H3041" s="1" t="s">
        <v>46</v>
      </c>
      <c r="I3041" t="s">
        <v>95</v>
      </c>
      <c r="J3041" t="s">
        <v>1711</v>
      </c>
      <c r="K3041" t="s">
        <v>1303</v>
      </c>
      <c r="L3041" t="s">
        <v>1323</v>
      </c>
      <c r="M3041">
        <v>904872</v>
      </c>
    </row>
    <row r="3042" spans="1:12" ht="15">
      <c r="A3042" s="4">
        <v>201402</v>
      </c>
      <c r="B3042" t="s">
        <v>1709</v>
      </c>
      <c r="C3042" s="5">
        <v>6501962</v>
      </c>
      <c r="D3042" s="2" t="s">
        <v>1717</v>
      </c>
      <c r="E3042" s="2" t="s">
        <v>15</v>
      </c>
      <c r="F3042" s="3">
        <v>1.92</v>
      </c>
      <c r="H3042" s="1" t="s">
        <v>66</v>
      </c>
      <c r="I3042" t="s">
        <v>67</v>
      </c>
      <c r="J3042" t="s">
        <v>1711</v>
      </c>
      <c r="K3042" t="s">
        <v>1303</v>
      </c>
      <c r="L3042" t="s">
        <v>1323</v>
      </c>
    </row>
    <row r="3043" spans="1:12" ht="15">
      <c r="A3043" s="4">
        <v>201403</v>
      </c>
      <c r="B3043" t="s">
        <v>1709</v>
      </c>
      <c r="C3043" s="5">
        <v>6501962</v>
      </c>
      <c r="D3043" s="2" t="s">
        <v>1717</v>
      </c>
      <c r="E3043" s="2" t="s">
        <v>15</v>
      </c>
      <c r="F3043" s="3">
        <v>0.59</v>
      </c>
      <c r="H3043" s="1" t="s">
        <v>66</v>
      </c>
      <c r="I3043" t="s">
        <v>67</v>
      </c>
      <c r="J3043" t="s">
        <v>1711</v>
      </c>
      <c r="K3043" t="s">
        <v>1303</v>
      </c>
      <c r="L3043" t="s">
        <v>1323</v>
      </c>
    </row>
    <row r="3044" spans="1:14" ht="15">
      <c r="A3044" s="4">
        <v>201402</v>
      </c>
      <c r="B3044" t="s">
        <v>1709</v>
      </c>
      <c r="C3044" s="5">
        <v>6538179</v>
      </c>
      <c r="D3044" s="2" t="s">
        <v>860</v>
      </c>
      <c r="E3044" s="2" t="s">
        <v>15</v>
      </c>
      <c r="F3044" s="3">
        <v>31.59</v>
      </c>
      <c r="G3044" t="s">
        <v>57</v>
      </c>
      <c r="H3044" s="1" t="s">
        <v>60</v>
      </c>
      <c r="I3044">
        <f>-70891/315696/1</f>
        <v>-0.22455463483857888</v>
      </c>
      <c r="J3044" t="s">
        <v>1711</v>
      </c>
      <c r="K3044" t="s">
        <v>1303</v>
      </c>
      <c r="L3044" t="s">
        <v>1323</v>
      </c>
      <c r="N3044" t="s">
        <v>58</v>
      </c>
    </row>
    <row r="3045" spans="1:13" ht="15">
      <c r="A3045" s="4">
        <v>201402</v>
      </c>
      <c r="B3045" t="s">
        <v>1709</v>
      </c>
      <c r="C3045" s="5">
        <v>6538179</v>
      </c>
      <c r="D3045" s="2" t="s">
        <v>860</v>
      </c>
      <c r="E3045" s="2" t="s">
        <v>15</v>
      </c>
      <c r="F3045" s="3">
        <v>526.44</v>
      </c>
      <c r="G3045" t="s">
        <v>81</v>
      </c>
      <c r="H3045" s="1" t="s">
        <v>60</v>
      </c>
      <c r="I3045" t="s">
        <v>1718</v>
      </c>
      <c r="J3045" t="s">
        <v>1711</v>
      </c>
      <c r="K3045" t="s">
        <v>1303</v>
      </c>
      <c r="L3045" t="s">
        <v>1323</v>
      </c>
      <c r="M3045">
        <v>898820</v>
      </c>
    </row>
    <row r="3046" spans="1:13" ht="15">
      <c r="A3046" s="4">
        <v>201403</v>
      </c>
      <c r="B3046" t="s">
        <v>1709</v>
      </c>
      <c r="C3046" s="5">
        <v>6538179</v>
      </c>
      <c r="D3046" s="2" t="s">
        <v>860</v>
      </c>
      <c r="E3046" s="2" t="s">
        <v>15</v>
      </c>
      <c r="F3046" s="3">
        <v>7.59</v>
      </c>
      <c r="G3046" t="s">
        <v>81</v>
      </c>
      <c r="H3046" s="1" t="s">
        <v>60</v>
      </c>
      <c r="I3046" t="s">
        <v>1719</v>
      </c>
      <c r="J3046" t="s">
        <v>1711</v>
      </c>
      <c r="K3046" t="s">
        <v>1303</v>
      </c>
      <c r="L3046" t="s">
        <v>1323</v>
      </c>
      <c r="M3046">
        <v>898820</v>
      </c>
    </row>
    <row r="3047" spans="1:14" ht="15">
      <c r="A3047" s="4">
        <v>201403</v>
      </c>
      <c r="B3047" t="s">
        <v>1709</v>
      </c>
      <c r="C3047" s="5">
        <v>6538179</v>
      </c>
      <c r="D3047" s="2" t="s">
        <v>860</v>
      </c>
      <c r="E3047" s="2" t="s">
        <v>15</v>
      </c>
      <c r="F3047" s="3">
        <v>18.24</v>
      </c>
      <c r="G3047" t="s">
        <v>57</v>
      </c>
      <c r="H3047" s="1" t="s">
        <v>60</v>
      </c>
      <c r="I3047">
        <f>-70891/316999/1</f>
        <v>-0.223631620289023</v>
      </c>
      <c r="J3047" t="s">
        <v>1711</v>
      </c>
      <c r="K3047" t="s">
        <v>1303</v>
      </c>
      <c r="L3047" t="s">
        <v>1323</v>
      </c>
      <c r="N3047" t="s">
        <v>58</v>
      </c>
    </row>
    <row r="3048" spans="1:13" ht="15">
      <c r="A3048" s="4">
        <v>201403</v>
      </c>
      <c r="B3048" t="s">
        <v>1709</v>
      </c>
      <c r="C3048" s="5">
        <v>6538179</v>
      </c>
      <c r="D3048" s="2" t="s">
        <v>860</v>
      </c>
      <c r="E3048" s="2" t="s">
        <v>15</v>
      </c>
      <c r="F3048" s="3">
        <v>36.2</v>
      </c>
      <c r="G3048" t="s">
        <v>81</v>
      </c>
      <c r="H3048" s="1" t="s">
        <v>60</v>
      </c>
      <c r="I3048" t="s">
        <v>1720</v>
      </c>
      <c r="J3048" t="s">
        <v>1711</v>
      </c>
      <c r="K3048" t="s">
        <v>1303</v>
      </c>
      <c r="L3048" t="s">
        <v>1323</v>
      </c>
      <c r="M3048">
        <v>898820</v>
      </c>
    </row>
    <row r="3049" spans="1:13" ht="15">
      <c r="A3049" s="4">
        <v>201403</v>
      </c>
      <c r="B3049" t="s">
        <v>1709</v>
      </c>
      <c r="C3049" s="5">
        <v>6538179</v>
      </c>
      <c r="D3049" s="2" t="s">
        <v>860</v>
      </c>
      <c r="E3049" s="2" t="s">
        <v>15</v>
      </c>
      <c r="F3049" s="3">
        <v>44.7</v>
      </c>
      <c r="G3049" t="s">
        <v>81</v>
      </c>
      <c r="H3049" s="1" t="s">
        <v>60</v>
      </c>
      <c r="I3049" t="s">
        <v>1721</v>
      </c>
      <c r="J3049" t="s">
        <v>1711</v>
      </c>
      <c r="K3049" t="s">
        <v>1303</v>
      </c>
      <c r="L3049" t="s">
        <v>1323</v>
      </c>
      <c r="M3049">
        <v>898820</v>
      </c>
    </row>
    <row r="3050" spans="1:13" ht="15">
      <c r="A3050" s="4">
        <v>201403</v>
      </c>
      <c r="B3050" t="s">
        <v>1709</v>
      </c>
      <c r="C3050" s="5">
        <v>6538179</v>
      </c>
      <c r="D3050" s="2" t="s">
        <v>860</v>
      </c>
      <c r="E3050" s="2" t="s">
        <v>15</v>
      </c>
      <c r="F3050" s="3">
        <v>55.92</v>
      </c>
      <c r="G3050" t="s">
        <v>81</v>
      </c>
      <c r="H3050" s="1" t="s">
        <v>60</v>
      </c>
      <c r="I3050" t="s">
        <v>1722</v>
      </c>
      <c r="J3050" t="s">
        <v>1711</v>
      </c>
      <c r="K3050" t="s">
        <v>1303</v>
      </c>
      <c r="L3050" t="s">
        <v>1323</v>
      </c>
      <c r="M3050">
        <v>898820</v>
      </c>
    </row>
    <row r="3051" spans="1:13" ht="15">
      <c r="A3051" s="4">
        <v>201403</v>
      </c>
      <c r="B3051" t="s">
        <v>1709</v>
      </c>
      <c r="C3051" s="5">
        <v>6538179</v>
      </c>
      <c r="D3051" s="2" t="s">
        <v>860</v>
      </c>
      <c r="E3051" s="2" t="s">
        <v>15</v>
      </c>
      <c r="F3051" s="3">
        <v>57.65</v>
      </c>
      <c r="G3051" t="s">
        <v>81</v>
      </c>
      <c r="H3051" s="1" t="s">
        <v>60</v>
      </c>
      <c r="I3051" t="s">
        <v>1723</v>
      </c>
      <c r="J3051" t="s">
        <v>1711</v>
      </c>
      <c r="K3051" t="s">
        <v>1303</v>
      </c>
      <c r="L3051" t="s">
        <v>1323</v>
      </c>
      <c r="M3051">
        <v>898820</v>
      </c>
    </row>
    <row r="3052" spans="1:14" ht="15">
      <c r="A3052" s="4">
        <v>201403</v>
      </c>
      <c r="B3052" t="s">
        <v>1709</v>
      </c>
      <c r="C3052" s="5">
        <v>6538179</v>
      </c>
      <c r="D3052" s="2" t="s">
        <v>860</v>
      </c>
      <c r="E3052" s="2" t="s">
        <v>15</v>
      </c>
      <c r="F3052" s="3">
        <v>80.81</v>
      </c>
      <c r="G3052" t="s">
        <v>57</v>
      </c>
      <c r="H3052" s="1" t="s">
        <v>60</v>
      </c>
      <c r="I3052">
        <f>-70891/317346/1</f>
        <v>-0.2233870916917182</v>
      </c>
      <c r="J3052" t="s">
        <v>1711</v>
      </c>
      <c r="K3052" t="s">
        <v>1303</v>
      </c>
      <c r="L3052" t="s">
        <v>1323</v>
      </c>
      <c r="N3052" t="s">
        <v>58</v>
      </c>
    </row>
    <row r="3053" spans="1:13" ht="15">
      <c r="A3053" s="4">
        <v>201403</v>
      </c>
      <c r="B3053" t="s">
        <v>1709</v>
      </c>
      <c r="C3053" s="5">
        <v>6538179</v>
      </c>
      <c r="D3053" s="2" t="s">
        <v>860</v>
      </c>
      <c r="E3053" s="2" t="s">
        <v>15</v>
      </c>
      <c r="F3053" s="3">
        <v>83.01</v>
      </c>
      <c r="G3053" t="s">
        <v>81</v>
      </c>
      <c r="H3053" s="1" t="s">
        <v>60</v>
      </c>
      <c r="I3053" t="s">
        <v>1724</v>
      </c>
      <c r="J3053" t="s">
        <v>1711</v>
      </c>
      <c r="K3053" t="s">
        <v>1303</v>
      </c>
      <c r="L3053" t="s">
        <v>1323</v>
      </c>
      <c r="M3053">
        <v>898820</v>
      </c>
    </row>
    <row r="3054" spans="1:13" ht="15">
      <c r="A3054" s="4">
        <v>201403</v>
      </c>
      <c r="B3054" t="s">
        <v>1709</v>
      </c>
      <c r="C3054" s="5">
        <v>6538179</v>
      </c>
      <c r="D3054" s="2" t="s">
        <v>860</v>
      </c>
      <c r="E3054" s="2" t="s">
        <v>15</v>
      </c>
      <c r="F3054" s="3">
        <v>93.38</v>
      </c>
      <c r="G3054" t="s">
        <v>81</v>
      </c>
      <c r="H3054" s="1" t="s">
        <v>60</v>
      </c>
      <c r="I3054" t="s">
        <v>1725</v>
      </c>
      <c r="J3054" t="s">
        <v>1711</v>
      </c>
      <c r="K3054" t="s">
        <v>1303</v>
      </c>
      <c r="L3054" t="s">
        <v>1323</v>
      </c>
      <c r="M3054">
        <v>898820</v>
      </c>
    </row>
    <row r="3055" spans="1:13" ht="15">
      <c r="A3055" s="4">
        <v>201403</v>
      </c>
      <c r="B3055" t="s">
        <v>1709</v>
      </c>
      <c r="C3055" s="5">
        <v>6538179</v>
      </c>
      <c r="D3055" s="2" t="s">
        <v>860</v>
      </c>
      <c r="E3055" s="2" t="s">
        <v>15</v>
      </c>
      <c r="F3055" s="3">
        <v>99</v>
      </c>
      <c r="G3055" t="s">
        <v>81</v>
      </c>
      <c r="H3055" s="1" t="s">
        <v>60</v>
      </c>
      <c r="I3055" t="s">
        <v>1726</v>
      </c>
      <c r="J3055" t="s">
        <v>1711</v>
      </c>
      <c r="K3055" t="s">
        <v>1303</v>
      </c>
      <c r="L3055" t="s">
        <v>1323</v>
      </c>
      <c r="M3055">
        <v>898820</v>
      </c>
    </row>
    <row r="3056" spans="1:13" ht="15">
      <c r="A3056" s="4">
        <v>201403</v>
      </c>
      <c r="B3056" t="s">
        <v>1709</v>
      </c>
      <c r="C3056" s="5">
        <v>6538179</v>
      </c>
      <c r="D3056" s="2" t="s">
        <v>860</v>
      </c>
      <c r="E3056" s="2" t="s">
        <v>15</v>
      </c>
      <c r="F3056" s="3">
        <v>114.66</v>
      </c>
      <c r="G3056" t="s">
        <v>81</v>
      </c>
      <c r="H3056" s="1" t="s">
        <v>60</v>
      </c>
      <c r="I3056" t="s">
        <v>1727</v>
      </c>
      <c r="J3056" t="s">
        <v>1711</v>
      </c>
      <c r="K3056" t="s">
        <v>1303</v>
      </c>
      <c r="L3056" t="s">
        <v>1323</v>
      </c>
      <c r="M3056">
        <v>898820</v>
      </c>
    </row>
    <row r="3057" spans="1:14" ht="15">
      <c r="A3057" s="4">
        <v>201403</v>
      </c>
      <c r="B3057" t="s">
        <v>1709</v>
      </c>
      <c r="C3057" s="5">
        <v>6538179</v>
      </c>
      <c r="D3057" s="2" t="s">
        <v>860</v>
      </c>
      <c r="E3057" s="2" t="s">
        <v>15</v>
      </c>
      <c r="F3057" s="3">
        <v>119.09</v>
      </c>
      <c r="G3057" t="s">
        <v>57</v>
      </c>
      <c r="H3057" s="1" t="s">
        <v>60</v>
      </c>
      <c r="I3057">
        <f>-70891/315740/1</f>
        <v>-0.22452334199024515</v>
      </c>
      <c r="J3057" t="s">
        <v>1711</v>
      </c>
      <c r="K3057" t="s">
        <v>1303</v>
      </c>
      <c r="L3057" t="s">
        <v>1323</v>
      </c>
      <c r="N3057" t="s">
        <v>58</v>
      </c>
    </row>
    <row r="3058" spans="1:13" ht="15">
      <c r="A3058" s="4">
        <v>201403</v>
      </c>
      <c r="B3058" t="s">
        <v>1709</v>
      </c>
      <c r="C3058" s="5">
        <v>6538179</v>
      </c>
      <c r="D3058" s="2" t="s">
        <v>860</v>
      </c>
      <c r="E3058" s="2" t="s">
        <v>15</v>
      </c>
      <c r="F3058" s="3">
        <v>123.5</v>
      </c>
      <c r="G3058" t="s">
        <v>81</v>
      </c>
      <c r="H3058" s="1" t="s">
        <v>60</v>
      </c>
      <c r="I3058" t="s">
        <v>1728</v>
      </c>
      <c r="J3058" t="s">
        <v>1711</v>
      </c>
      <c r="K3058" t="s">
        <v>1303</v>
      </c>
      <c r="L3058" t="s">
        <v>1323</v>
      </c>
      <c r="M3058">
        <v>898820</v>
      </c>
    </row>
    <row r="3059" spans="1:13" ht="15">
      <c r="A3059" s="4">
        <v>201403</v>
      </c>
      <c r="B3059" t="s">
        <v>1709</v>
      </c>
      <c r="C3059" s="5">
        <v>6538179</v>
      </c>
      <c r="D3059" s="2" t="s">
        <v>860</v>
      </c>
      <c r="E3059" s="2" t="s">
        <v>15</v>
      </c>
      <c r="F3059" s="3">
        <v>165.75</v>
      </c>
      <c r="G3059" t="s">
        <v>81</v>
      </c>
      <c r="H3059" s="1" t="s">
        <v>60</v>
      </c>
      <c r="I3059" t="s">
        <v>1729</v>
      </c>
      <c r="J3059" t="s">
        <v>1711</v>
      </c>
      <c r="K3059" t="s">
        <v>1303</v>
      </c>
      <c r="L3059" t="s">
        <v>1323</v>
      </c>
      <c r="M3059">
        <v>898820</v>
      </c>
    </row>
    <row r="3060" spans="1:13" ht="15">
      <c r="A3060" s="4">
        <v>201403</v>
      </c>
      <c r="B3060" t="s">
        <v>1709</v>
      </c>
      <c r="C3060" s="5">
        <v>6538179</v>
      </c>
      <c r="D3060" s="2" t="s">
        <v>860</v>
      </c>
      <c r="E3060" s="2" t="s">
        <v>15</v>
      </c>
      <c r="F3060" s="3">
        <v>247.92</v>
      </c>
      <c r="G3060" t="s">
        <v>81</v>
      </c>
      <c r="H3060" s="1" t="s">
        <v>60</v>
      </c>
      <c r="I3060" t="s">
        <v>1730</v>
      </c>
      <c r="J3060" t="s">
        <v>1711</v>
      </c>
      <c r="K3060" t="s">
        <v>1303</v>
      </c>
      <c r="L3060" t="s">
        <v>1323</v>
      </c>
      <c r="M3060">
        <v>898820</v>
      </c>
    </row>
    <row r="3061" spans="1:13" ht="15">
      <c r="A3061" s="4">
        <v>201403</v>
      </c>
      <c r="B3061" t="s">
        <v>1709</v>
      </c>
      <c r="C3061" s="5">
        <v>6538179</v>
      </c>
      <c r="D3061" s="2" t="s">
        <v>860</v>
      </c>
      <c r="E3061" s="2" t="s">
        <v>15</v>
      </c>
      <c r="F3061" s="3">
        <v>475</v>
      </c>
      <c r="G3061" t="s">
        <v>81</v>
      </c>
      <c r="H3061" s="1" t="s">
        <v>60</v>
      </c>
      <c r="I3061" t="s">
        <v>1731</v>
      </c>
      <c r="J3061" t="s">
        <v>1711</v>
      </c>
      <c r="K3061" t="s">
        <v>1303</v>
      </c>
      <c r="L3061" t="s">
        <v>1323</v>
      </c>
      <c r="M3061">
        <v>898820</v>
      </c>
    </row>
    <row r="3062" spans="1:13" ht="15">
      <c r="A3062" s="4">
        <v>201403</v>
      </c>
      <c r="B3062" t="s">
        <v>1709</v>
      </c>
      <c r="C3062" s="5">
        <v>6538179</v>
      </c>
      <c r="D3062" s="2" t="s">
        <v>860</v>
      </c>
      <c r="E3062" s="2" t="s">
        <v>15</v>
      </c>
      <c r="F3062" s="3">
        <v>567.66</v>
      </c>
      <c r="G3062" t="s">
        <v>81</v>
      </c>
      <c r="H3062" s="1" t="s">
        <v>60</v>
      </c>
      <c r="I3062" t="s">
        <v>1732</v>
      </c>
      <c r="J3062" t="s">
        <v>1711</v>
      </c>
      <c r="K3062" t="s">
        <v>1303</v>
      </c>
      <c r="L3062" t="s">
        <v>1323</v>
      </c>
      <c r="M3062">
        <v>898820</v>
      </c>
    </row>
    <row r="3063" spans="1:13" ht="15">
      <c r="A3063" s="4">
        <v>201403</v>
      </c>
      <c r="B3063" t="s">
        <v>1709</v>
      </c>
      <c r="C3063" s="5">
        <v>6538179</v>
      </c>
      <c r="D3063" s="2" t="s">
        <v>860</v>
      </c>
      <c r="E3063" s="2" t="s">
        <v>15</v>
      </c>
      <c r="F3063" s="3">
        <v>591.72</v>
      </c>
      <c r="G3063" t="s">
        <v>81</v>
      </c>
      <c r="H3063" s="1" t="s">
        <v>60</v>
      </c>
      <c r="I3063" t="s">
        <v>1733</v>
      </c>
      <c r="J3063" t="s">
        <v>1711</v>
      </c>
      <c r="K3063" t="s">
        <v>1303</v>
      </c>
      <c r="L3063" t="s">
        <v>1323</v>
      </c>
      <c r="M3063">
        <v>898820</v>
      </c>
    </row>
    <row r="3064" spans="1:13" ht="15">
      <c r="A3064" s="4">
        <v>201403</v>
      </c>
      <c r="B3064" t="s">
        <v>1709</v>
      </c>
      <c r="C3064" s="5">
        <v>6538179</v>
      </c>
      <c r="D3064" s="2" t="s">
        <v>860</v>
      </c>
      <c r="E3064" s="2" t="s">
        <v>15</v>
      </c>
      <c r="F3064" s="3">
        <v>871.8</v>
      </c>
      <c r="G3064" t="s">
        <v>81</v>
      </c>
      <c r="H3064" s="1" t="s">
        <v>60</v>
      </c>
      <c r="I3064" t="s">
        <v>1734</v>
      </c>
      <c r="J3064" t="s">
        <v>1711</v>
      </c>
      <c r="K3064" t="s">
        <v>1303</v>
      </c>
      <c r="L3064" t="s">
        <v>1323</v>
      </c>
      <c r="M3064">
        <v>898820</v>
      </c>
    </row>
    <row r="3065" spans="1:14" ht="15">
      <c r="A3065" s="4">
        <v>201402</v>
      </c>
      <c r="B3065" t="s">
        <v>1709</v>
      </c>
      <c r="C3065" s="5">
        <v>6538179</v>
      </c>
      <c r="D3065" s="2" t="s">
        <v>860</v>
      </c>
      <c r="E3065" s="2" t="s">
        <v>15</v>
      </c>
      <c r="F3065" s="3">
        <v>0.71</v>
      </c>
      <c r="G3065" t="s">
        <v>57</v>
      </c>
      <c r="H3065" s="1" t="s">
        <v>69</v>
      </c>
      <c r="I3065">
        <f>-70891/315696/1</f>
        <v>-0.22455463483857888</v>
      </c>
      <c r="J3065" t="s">
        <v>1711</v>
      </c>
      <c r="K3065" t="s">
        <v>1303</v>
      </c>
      <c r="L3065" t="s">
        <v>1323</v>
      </c>
      <c r="N3065" t="s">
        <v>58</v>
      </c>
    </row>
    <row r="3066" spans="1:12" ht="15">
      <c r="A3066" s="4">
        <v>201402</v>
      </c>
      <c r="B3066" t="s">
        <v>1709</v>
      </c>
      <c r="C3066" s="5">
        <v>6538179</v>
      </c>
      <c r="D3066" s="2" t="s">
        <v>860</v>
      </c>
      <c r="E3066" s="2" t="s">
        <v>15</v>
      </c>
      <c r="F3066" s="3">
        <v>11.91</v>
      </c>
      <c r="G3066" t="s">
        <v>81</v>
      </c>
      <c r="H3066" s="1" t="s">
        <v>69</v>
      </c>
      <c r="I3066" t="e">
        <f>-freight</f>
        <v>#NAME?</v>
      </c>
      <c r="J3066" t="s">
        <v>1711</v>
      </c>
      <c r="K3066" t="s">
        <v>1303</v>
      </c>
      <c r="L3066" t="s">
        <v>1323</v>
      </c>
    </row>
    <row r="3067" spans="1:14" ht="15">
      <c r="A3067" s="4">
        <v>201403</v>
      </c>
      <c r="B3067" t="s">
        <v>1709</v>
      </c>
      <c r="C3067" s="5">
        <v>6538179</v>
      </c>
      <c r="D3067" s="2" t="s">
        <v>860</v>
      </c>
      <c r="E3067" s="2" t="s">
        <v>15</v>
      </c>
      <c r="F3067" s="3">
        <v>0.67</v>
      </c>
      <c r="G3067" t="s">
        <v>57</v>
      </c>
      <c r="H3067" s="1" t="s">
        <v>69</v>
      </c>
      <c r="I3067">
        <f>-70891/316999/1</f>
        <v>-0.223631620289023</v>
      </c>
      <c r="J3067" t="s">
        <v>1711</v>
      </c>
      <c r="K3067" t="s">
        <v>1303</v>
      </c>
      <c r="L3067" t="s">
        <v>1323</v>
      </c>
      <c r="N3067" t="s">
        <v>58</v>
      </c>
    </row>
    <row r="3068" spans="1:14" ht="15">
      <c r="A3068" s="4">
        <v>201403</v>
      </c>
      <c r="B3068" t="s">
        <v>1709</v>
      </c>
      <c r="C3068" s="5">
        <v>6538179</v>
      </c>
      <c r="D3068" s="2" t="s">
        <v>860</v>
      </c>
      <c r="E3068" s="2" t="s">
        <v>15</v>
      </c>
      <c r="F3068" s="3">
        <v>6.47</v>
      </c>
      <c r="G3068" t="s">
        <v>57</v>
      </c>
      <c r="H3068" s="1" t="s">
        <v>69</v>
      </c>
      <c r="I3068">
        <f>-70891/315740/1</f>
        <v>-0.22452334199024515</v>
      </c>
      <c r="J3068" t="s">
        <v>1711</v>
      </c>
      <c r="K3068" t="s">
        <v>1303</v>
      </c>
      <c r="L3068" t="s">
        <v>1323</v>
      </c>
      <c r="N3068" t="s">
        <v>58</v>
      </c>
    </row>
    <row r="3069" spans="1:12" ht="15">
      <c r="A3069" s="4">
        <v>201403</v>
      </c>
      <c r="B3069" t="s">
        <v>1709</v>
      </c>
      <c r="C3069" s="5">
        <v>6538179</v>
      </c>
      <c r="D3069" s="2" t="s">
        <v>860</v>
      </c>
      <c r="E3069" s="2" t="s">
        <v>15</v>
      </c>
      <c r="F3069" s="3">
        <v>11.11</v>
      </c>
      <c r="G3069" t="s">
        <v>81</v>
      </c>
      <c r="H3069" s="1" t="s">
        <v>69</v>
      </c>
      <c r="I3069" t="e">
        <f>-freight</f>
        <v>#NAME?</v>
      </c>
      <c r="J3069" t="s">
        <v>1711</v>
      </c>
      <c r="K3069" t="s">
        <v>1303</v>
      </c>
      <c r="L3069" t="s">
        <v>1323</v>
      </c>
    </row>
    <row r="3070" spans="1:12" ht="15">
      <c r="A3070" s="4">
        <v>201403</v>
      </c>
      <c r="B3070" t="s">
        <v>1709</v>
      </c>
      <c r="C3070" s="5">
        <v>6538179</v>
      </c>
      <c r="D3070" s="2" t="s">
        <v>860</v>
      </c>
      <c r="E3070" s="2" t="s">
        <v>15</v>
      </c>
      <c r="F3070" s="3">
        <v>107.77</v>
      </c>
      <c r="G3070" t="s">
        <v>81</v>
      </c>
      <c r="H3070" s="1" t="s">
        <v>69</v>
      </c>
      <c r="I3070" t="e">
        <f>-freight</f>
        <v>#NAME?</v>
      </c>
      <c r="J3070" t="s">
        <v>1711</v>
      </c>
      <c r="K3070" t="s">
        <v>1303</v>
      </c>
      <c r="L3070" t="s">
        <v>1323</v>
      </c>
    </row>
    <row r="3071" spans="1:12" ht="15">
      <c r="A3071" s="4">
        <v>201403</v>
      </c>
      <c r="B3071" t="s">
        <v>1709</v>
      </c>
      <c r="C3071" s="5">
        <v>6540323</v>
      </c>
      <c r="D3071" s="2" t="s">
        <v>1736</v>
      </c>
      <c r="E3071" s="2" t="s">
        <v>15</v>
      </c>
      <c r="F3071" s="3">
        <v>10000</v>
      </c>
      <c r="H3071" s="1" t="s">
        <v>44</v>
      </c>
      <c r="I3071" t="s">
        <v>1735</v>
      </c>
      <c r="J3071" t="s">
        <v>1711</v>
      </c>
      <c r="K3071" t="s">
        <v>1303</v>
      </c>
      <c r="L3071" t="s">
        <v>1323</v>
      </c>
    </row>
    <row r="3072" spans="1:12" ht="15">
      <c r="A3072" s="4">
        <v>201404</v>
      </c>
      <c r="B3072" t="s">
        <v>1709</v>
      </c>
      <c r="C3072" s="5">
        <v>6540323</v>
      </c>
      <c r="D3072" s="2" t="s">
        <v>1736</v>
      </c>
      <c r="E3072" s="2" t="s">
        <v>15</v>
      </c>
      <c r="F3072" s="3">
        <v>-10000</v>
      </c>
      <c r="H3072" s="1" t="s">
        <v>44</v>
      </c>
      <c r="I3072" t="s">
        <v>1735</v>
      </c>
      <c r="J3072" t="s">
        <v>1711</v>
      </c>
      <c r="K3072" t="s">
        <v>1303</v>
      </c>
      <c r="L3072" t="s">
        <v>1323</v>
      </c>
    </row>
    <row r="3073" spans="1:13" ht="15">
      <c r="A3073" s="4">
        <v>201404</v>
      </c>
      <c r="B3073" t="s">
        <v>1709</v>
      </c>
      <c r="C3073" s="5">
        <v>6540323</v>
      </c>
      <c r="D3073" s="2" t="s">
        <v>1736</v>
      </c>
      <c r="E3073" s="2" t="s">
        <v>15</v>
      </c>
      <c r="F3073" s="3">
        <v>2294.25</v>
      </c>
      <c r="G3073" t="s">
        <v>211</v>
      </c>
      <c r="H3073" s="1" t="s">
        <v>44</v>
      </c>
      <c r="I3073" t="s">
        <v>1737</v>
      </c>
      <c r="J3073" t="s">
        <v>1711</v>
      </c>
      <c r="K3073" t="s">
        <v>1303</v>
      </c>
      <c r="L3073" t="s">
        <v>1323</v>
      </c>
      <c r="M3073">
        <v>901298</v>
      </c>
    </row>
    <row r="3074" spans="1:13" ht="15">
      <c r="A3074" s="4">
        <v>201404</v>
      </c>
      <c r="B3074" t="s">
        <v>1709</v>
      </c>
      <c r="C3074" s="5">
        <v>6540323</v>
      </c>
      <c r="D3074" s="2" t="s">
        <v>1736</v>
      </c>
      <c r="E3074" s="2" t="s">
        <v>15</v>
      </c>
      <c r="F3074" s="3">
        <v>325</v>
      </c>
      <c r="G3074" t="s">
        <v>49</v>
      </c>
      <c r="H3074" s="1" t="s">
        <v>78</v>
      </c>
      <c r="I3074" t="s">
        <v>792</v>
      </c>
      <c r="J3074" t="s">
        <v>1711</v>
      </c>
      <c r="K3074" t="s">
        <v>1303</v>
      </c>
      <c r="L3074" t="s">
        <v>1323</v>
      </c>
      <c r="M3074">
        <v>903434</v>
      </c>
    </row>
    <row r="3075" spans="1:13" ht="15">
      <c r="A3075" s="4">
        <v>201404</v>
      </c>
      <c r="B3075" t="s">
        <v>1709</v>
      </c>
      <c r="C3075" s="5">
        <v>6540323</v>
      </c>
      <c r="D3075" s="2" t="s">
        <v>1736</v>
      </c>
      <c r="E3075" s="2" t="s">
        <v>15</v>
      </c>
      <c r="F3075" s="3">
        <v>104.92</v>
      </c>
      <c r="G3075" t="s">
        <v>49</v>
      </c>
      <c r="H3075" s="1" t="s">
        <v>46</v>
      </c>
      <c r="I3075" t="s">
        <v>791</v>
      </c>
      <c r="J3075" t="s">
        <v>1711</v>
      </c>
      <c r="K3075" t="s">
        <v>1303</v>
      </c>
      <c r="L3075" t="s">
        <v>1323</v>
      </c>
      <c r="M3075">
        <v>903723</v>
      </c>
    </row>
    <row r="3076" spans="1:13" ht="15">
      <c r="A3076" s="4">
        <v>201404</v>
      </c>
      <c r="B3076" t="s">
        <v>1709</v>
      </c>
      <c r="C3076" s="5">
        <v>6540323</v>
      </c>
      <c r="D3076" s="2" t="s">
        <v>1736</v>
      </c>
      <c r="E3076" s="2" t="s">
        <v>15</v>
      </c>
      <c r="F3076" s="3">
        <v>1862.95</v>
      </c>
      <c r="G3076" t="s">
        <v>49</v>
      </c>
      <c r="H3076" s="1" t="s">
        <v>46</v>
      </c>
      <c r="I3076" t="s">
        <v>792</v>
      </c>
      <c r="J3076" t="s">
        <v>1711</v>
      </c>
      <c r="K3076" t="s">
        <v>1303</v>
      </c>
      <c r="L3076" t="s">
        <v>1323</v>
      </c>
      <c r="M3076">
        <v>903434</v>
      </c>
    </row>
    <row r="3077" spans="1:13" ht="15">
      <c r="A3077" s="4">
        <v>201405</v>
      </c>
      <c r="B3077" t="s">
        <v>1709</v>
      </c>
      <c r="C3077" s="5">
        <v>6540323</v>
      </c>
      <c r="D3077" s="2" t="s">
        <v>1736</v>
      </c>
      <c r="E3077" s="2" t="s">
        <v>15</v>
      </c>
      <c r="F3077" s="3">
        <v>4921.65</v>
      </c>
      <c r="G3077" t="s">
        <v>73</v>
      </c>
      <c r="H3077" s="1" t="s">
        <v>46</v>
      </c>
      <c r="I3077" t="s">
        <v>95</v>
      </c>
      <c r="J3077" t="s">
        <v>1711</v>
      </c>
      <c r="K3077" t="s">
        <v>1303</v>
      </c>
      <c r="L3077" t="s">
        <v>1323</v>
      </c>
      <c r="M3077">
        <v>904872</v>
      </c>
    </row>
    <row r="3078" spans="1:14" ht="15">
      <c r="A3078" s="4">
        <v>201404</v>
      </c>
      <c r="B3078" t="s">
        <v>1709</v>
      </c>
      <c r="C3078" s="5">
        <v>6540323</v>
      </c>
      <c r="D3078" s="2" t="s">
        <v>1736</v>
      </c>
      <c r="E3078" s="2" t="s">
        <v>15</v>
      </c>
      <c r="F3078" s="3">
        <v>2.88</v>
      </c>
      <c r="G3078" t="s">
        <v>57</v>
      </c>
      <c r="H3078" s="1" t="s">
        <v>56</v>
      </c>
      <c r="I3078">
        <f>-69485/18861/1</f>
        <v>-3.68405704893696</v>
      </c>
      <c r="J3078" t="s">
        <v>1711</v>
      </c>
      <c r="K3078" t="s">
        <v>1303</v>
      </c>
      <c r="L3078" t="s">
        <v>1323</v>
      </c>
      <c r="N3078" t="s">
        <v>58</v>
      </c>
    </row>
    <row r="3079" spans="1:13" ht="15">
      <c r="A3079" s="4">
        <v>201404</v>
      </c>
      <c r="B3079" t="s">
        <v>1709</v>
      </c>
      <c r="C3079" s="5">
        <v>6540323</v>
      </c>
      <c r="D3079" s="2" t="s">
        <v>1736</v>
      </c>
      <c r="E3079" s="2" t="s">
        <v>15</v>
      </c>
      <c r="F3079" s="3">
        <v>47.52</v>
      </c>
      <c r="G3079" t="s">
        <v>799</v>
      </c>
      <c r="H3079" s="1" t="s">
        <v>56</v>
      </c>
      <c r="I3079" t="s">
        <v>1738</v>
      </c>
      <c r="J3079" t="s">
        <v>1711</v>
      </c>
      <c r="K3079" t="s">
        <v>1303</v>
      </c>
      <c r="L3079" t="s">
        <v>1323</v>
      </c>
      <c r="M3079">
        <v>902406</v>
      </c>
    </row>
    <row r="3080" spans="1:14" ht="15">
      <c r="A3080" s="4">
        <v>201405</v>
      </c>
      <c r="B3080" t="s">
        <v>1709</v>
      </c>
      <c r="C3080" s="5">
        <v>6540323</v>
      </c>
      <c r="D3080" s="2" t="s">
        <v>1736</v>
      </c>
      <c r="E3080" s="2" t="s">
        <v>15</v>
      </c>
      <c r="F3080" s="3">
        <v>147.72</v>
      </c>
      <c r="G3080" t="s">
        <v>1716</v>
      </c>
      <c r="H3080" s="1" t="s">
        <v>1389</v>
      </c>
      <c r="I3080" t="e">
        <f>-Lodging</f>
        <v>#NAME?</v>
      </c>
      <c r="J3080" t="s">
        <v>1711</v>
      </c>
      <c r="K3080" t="s">
        <v>1303</v>
      </c>
      <c r="L3080" t="s">
        <v>1323</v>
      </c>
      <c r="N3080" t="s">
        <v>82</v>
      </c>
    </row>
    <row r="3081" spans="1:12" ht="15">
      <c r="A3081" s="4">
        <v>201403</v>
      </c>
      <c r="B3081" t="s">
        <v>1709</v>
      </c>
      <c r="C3081" s="5">
        <v>6542193</v>
      </c>
      <c r="D3081" s="2" t="s">
        <v>1740</v>
      </c>
      <c r="E3081" s="2" t="s">
        <v>15</v>
      </c>
      <c r="F3081" s="3">
        <v>14559.36</v>
      </c>
      <c r="H3081" s="1" t="s">
        <v>14</v>
      </c>
      <c r="I3081" t="s">
        <v>1739</v>
      </c>
      <c r="J3081" t="s">
        <v>1711</v>
      </c>
      <c r="K3081" t="s">
        <v>1303</v>
      </c>
      <c r="L3081" t="s">
        <v>1323</v>
      </c>
    </row>
    <row r="3082" spans="1:12" ht="15">
      <c r="A3082" s="4">
        <v>201403</v>
      </c>
      <c r="B3082" t="s">
        <v>1709</v>
      </c>
      <c r="C3082" s="5">
        <v>6542193</v>
      </c>
      <c r="D3082" s="2" t="s">
        <v>1740</v>
      </c>
      <c r="E3082" s="2" t="s">
        <v>15</v>
      </c>
      <c r="F3082" s="3">
        <v>0.43</v>
      </c>
      <c r="H3082" s="1" t="s">
        <v>66</v>
      </c>
      <c r="I3082" t="s">
        <v>67</v>
      </c>
      <c r="J3082" t="s">
        <v>1711</v>
      </c>
      <c r="K3082" t="s">
        <v>1303</v>
      </c>
      <c r="L3082" t="s">
        <v>1323</v>
      </c>
    </row>
    <row r="3083" spans="1:12" ht="15">
      <c r="A3083" s="4">
        <v>201403</v>
      </c>
      <c r="B3083" t="s">
        <v>1709</v>
      </c>
      <c r="C3083" s="5">
        <v>6542194</v>
      </c>
      <c r="D3083" s="2" t="s">
        <v>946</v>
      </c>
      <c r="E3083" s="2" t="s">
        <v>15</v>
      </c>
      <c r="F3083" s="3">
        <v>6400</v>
      </c>
      <c r="H3083" s="1" t="s">
        <v>60</v>
      </c>
      <c r="I3083" t="s">
        <v>1741</v>
      </c>
      <c r="J3083" t="s">
        <v>1711</v>
      </c>
      <c r="K3083" t="s">
        <v>1303</v>
      </c>
      <c r="L3083" t="s">
        <v>1323</v>
      </c>
    </row>
    <row r="3084" spans="1:12" ht="15">
      <c r="A3084" s="4">
        <v>201404</v>
      </c>
      <c r="B3084" t="s">
        <v>1709</v>
      </c>
      <c r="C3084" s="5">
        <v>6542194</v>
      </c>
      <c r="D3084" s="2" t="s">
        <v>946</v>
      </c>
      <c r="E3084" s="2" t="s">
        <v>15</v>
      </c>
      <c r="F3084" s="3">
        <v>-6400</v>
      </c>
      <c r="H3084" s="1" t="s">
        <v>60</v>
      </c>
      <c r="I3084" t="s">
        <v>1741</v>
      </c>
      <c r="J3084" t="s">
        <v>1711</v>
      </c>
      <c r="K3084" t="s">
        <v>1303</v>
      </c>
      <c r="L3084" t="s">
        <v>1323</v>
      </c>
    </row>
    <row r="3085" spans="1:14" ht="15">
      <c r="A3085" s="4">
        <v>201404</v>
      </c>
      <c r="B3085" t="s">
        <v>1709</v>
      </c>
      <c r="C3085" s="5">
        <v>6542194</v>
      </c>
      <c r="D3085" s="2" t="s">
        <v>946</v>
      </c>
      <c r="E3085" s="2" t="s">
        <v>15</v>
      </c>
      <c r="F3085" s="3">
        <v>384</v>
      </c>
      <c r="G3085" t="s">
        <v>57</v>
      </c>
      <c r="H3085" s="1" t="s">
        <v>60</v>
      </c>
      <c r="I3085">
        <f>-53634/24581/1</f>
        <v>-2.181929132256621</v>
      </c>
      <c r="J3085" t="s">
        <v>1711</v>
      </c>
      <c r="K3085" t="s">
        <v>1303</v>
      </c>
      <c r="L3085" t="s">
        <v>1323</v>
      </c>
      <c r="N3085" t="s">
        <v>58</v>
      </c>
    </row>
    <row r="3086" spans="1:13" ht="15">
      <c r="A3086" s="4">
        <v>201404</v>
      </c>
      <c r="B3086" t="s">
        <v>1709</v>
      </c>
      <c r="C3086" s="5">
        <v>6542194</v>
      </c>
      <c r="D3086" s="2" t="s">
        <v>946</v>
      </c>
      <c r="E3086" s="2" t="s">
        <v>15</v>
      </c>
      <c r="F3086" s="3">
        <v>6400</v>
      </c>
      <c r="G3086" t="s">
        <v>1326</v>
      </c>
      <c r="H3086" s="1" t="s">
        <v>60</v>
      </c>
      <c r="I3086" t="s">
        <v>1742</v>
      </c>
      <c r="J3086" t="s">
        <v>1711</v>
      </c>
      <c r="K3086" t="s">
        <v>1303</v>
      </c>
      <c r="L3086" t="s">
        <v>1323</v>
      </c>
      <c r="M3086">
        <v>900261</v>
      </c>
    </row>
    <row r="3087" spans="1:14" ht="15">
      <c r="A3087" s="4">
        <v>201404</v>
      </c>
      <c r="B3087" t="s">
        <v>1709</v>
      </c>
      <c r="C3087" s="5">
        <v>6542194</v>
      </c>
      <c r="D3087" s="2" t="s">
        <v>946</v>
      </c>
      <c r="E3087" s="2" t="s">
        <v>15</v>
      </c>
      <c r="F3087" s="3">
        <v>9.96</v>
      </c>
      <c r="G3087" t="s">
        <v>57</v>
      </c>
      <c r="H3087" s="1" t="s">
        <v>69</v>
      </c>
      <c r="I3087">
        <f>-53634/24581/1</f>
        <v>-2.181929132256621</v>
      </c>
      <c r="J3087" t="s">
        <v>1711</v>
      </c>
      <c r="K3087" t="s">
        <v>1303</v>
      </c>
      <c r="L3087" t="s">
        <v>1323</v>
      </c>
      <c r="N3087" t="s">
        <v>58</v>
      </c>
    </row>
    <row r="3088" spans="1:12" ht="15">
      <c r="A3088" s="4">
        <v>201404</v>
      </c>
      <c r="B3088" t="s">
        <v>1709</v>
      </c>
      <c r="C3088" s="5">
        <v>6542194</v>
      </c>
      <c r="D3088" s="2" t="s">
        <v>946</v>
      </c>
      <c r="E3088" s="2" t="s">
        <v>15</v>
      </c>
      <c r="F3088" s="3">
        <v>165.93</v>
      </c>
      <c r="G3088" t="s">
        <v>1326</v>
      </c>
      <c r="H3088" s="1" t="s">
        <v>69</v>
      </c>
      <c r="I3088" t="e">
        <f>-freight</f>
        <v>#NAME?</v>
      </c>
      <c r="J3088" t="s">
        <v>1711</v>
      </c>
      <c r="K3088" t="s">
        <v>1303</v>
      </c>
      <c r="L3088" t="s">
        <v>1323</v>
      </c>
    </row>
    <row r="3089" spans="1:12" ht="15">
      <c r="A3089" s="4">
        <v>201407</v>
      </c>
      <c r="B3089" t="s">
        <v>1709</v>
      </c>
      <c r="C3089" s="5">
        <v>6585565</v>
      </c>
      <c r="D3089" s="2" t="s">
        <v>1743</v>
      </c>
      <c r="E3089" s="2" t="s">
        <v>261</v>
      </c>
      <c r="F3089" s="3">
        <v>31.13</v>
      </c>
      <c r="H3089" s="1" t="s">
        <v>14</v>
      </c>
      <c r="I3089" t="s">
        <v>319</v>
      </c>
      <c r="J3089" t="s">
        <v>1711</v>
      </c>
      <c r="K3089" t="s">
        <v>1303</v>
      </c>
      <c r="L3089" t="s">
        <v>1323</v>
      </c>
    </row>
    <row r="3090" spans="1:12" ht="15">
      <c r="A3090" s="4">
        <v>201407</v>
      </c>
      <c r="B3090" t="s">
        <v>1709</v>
      </c>
      <c r="C3090" s="5">
        <v>6585565</v>
      </c>
      <c r="D3090" s="2" t="s">
        <v>1743</v>
      </c>
      <c r="E3090" s="2" t="s">
        <v>261</v>
      </c>
      <c r="F3090" s="3">
        <v>32.59</v>
      </c>
      <c r="H3090" s="1" t="s">
        <v>14</v>
      </c>
      <c r="I3090" t="s">
        <v>1744</v>
      </c>
      <c r="J3090" t="s">
        <v>1711</v>
      </c>
      <c r="K3090" t="s">
        <v>1303</v>
      </c>
      <c r="L3090" t="s">
        <v>1323</v>
      </c>
    </row>
    <row r="3091" spans="1:12" ht="15">
      <c r="A3091" s="4">
        <v>201407</v>
      </c>
      <c r="B3091" t="s">
        <v>1709</v>
      </c>
      <c r="C3091" s="5">
        <v>6585565</v>
      </c>
      <c r="D3091" s="2" t="s">
        <v>1743</v>
      </c>
      <c r="E3091" s="2" t="s">
        <v>261</v>
      </c>
      <c r="F3091" s="3">
        <v>33.54</v>
      </c>
      <c r="H3091" s="1" t="s">
        <v>14</v>
      </c>
      <c r="I3091" t="s">
        <v>1048</v>
      </c>
      <c r="J3091" t="s">
        <v>1711</v>
      </c>
      <c r="K3091" t="s">
        <v>1303</v>
      </c>
      <c r="L3091" t="s">
        <v>1323</v>
      </c>
    </row>
    <row r="3092" spans="1:12" ht="15">
      <c r="A3092" s="4">
        <v>201409</v>
      </c>
      <c r="B3092" t="s">
        <v>1709</v>
      </c>
      <c r="C3092" s="5">
        <v>6589774</v>
      </c>
      <c r="D3092" s="2" t="s">
        <v>1745</v>
      </c>
      <c r="E3092" s="2" t="s">
        <v>238</v>
      </c>
      <c r="F3092" s="3">
        <v>10.21</v>
      </c>
      <c r="H3092" s="1" t="s">
        <v>14</v>
      </c>
      <c r="I3092" t="s">
        <v>30</v>
      </c>
      <c r="J3092" t="s">
        <v>1711</v>
      </c>
      <c r="K3092" t="s">
        <v>1303</v>
      </c>
      <c r="L3092" t="s">
        <v>1323</v>
      </c>
    </row>
    <row r="3093" spans="1:12" ht="15">
      <c r="A3093" s="4">
        <v>201409</v>
      </c>
      <c r="B3093" t="s">
        <v>1709</v>
      </c>
      <c r="C3093" s="5">
        <v>6589774</v>
      </c>
      <c r="D3093" s="2" t="s">
        <v>1745</v>
      </c>
      <c r="E3093" s="2" t="s">
        <v>238</v>
      </c>
      <c r="F3093" s="3">
        <v>27</v>
      </c>
      <c r="H3093" s="1" t="s">
        <v>14</v>
      </c>
      <c r="I3093" t="s">
        <v>90</v>
      </c>
      <c r="J3093" t="s">
        <v>1711</v>
      </c>
      <c r="K3093" t="s">
        <v>1303</v>
      </c>
      <c r="L3093" t="s">
        <v>1323</v>
      </c>
    </row>
    <row r="3094" spans="1:12" ht="15">
      <c r="A3094" s="4">
        <v>201407</v>
      </c>
      <c r="B3094" t="s">
        <v>1709</v>
      </c>
      <c r="C3094" s="5">
        <v>6589774</v>
      </c>
      <c r="D3094" s="2" t="s">
        <v>1745</v>
      </c>
      <c r="E3094" s="2" t="s">
        <v>238</v>
      </c>
      <c r="F3094" s="3">
        <v>6480</v>
      </c>
      <c r="H3094" s="1" t="s">
        <v>60</v>
      </c>
      <c r="I3094" t="s">
        <v>1746</v>
      </c>
      <c r="J3094" t="s">
        <v>1711</v>
      </c>
      <c r="K3094" t="s">
        <v>1303</v>
      </c>
      <c r="L3094" t="s">
        <v>1323</v>
      </c>
    </row>
    <row r="3095" spans="1:12" ht="15">
      <c r="A3095" s="4">
        <v>201408</v>
      </c>
      <c r="B3095" t="s">
        <v>1709</v>
      </c>
      <c r="C3095" s="5">
        <v>6589774</v>
      </c>
      <c r="D3095" s="2" t="s">
        <v>1745</v>
      </c>
      <c r="E3095" s="2" t="s">
        <v>238</v>
      </c>
      <c r="F3095" s="3">
        <v>-6480</v>
      </c>
      <c r="H3095" s="1" t="s">
        <v>60</v>
      </c>
      <c r="I3095" t="s">
        <v>1746</v>
      </c>
      <c r="J3095" t="s">
        <v>1711</v>
      </c>
      <c r="K3095" t="s">
        <v>1303</v>
      </c>
      <c r="L3095" t="s">
        <v>1323</v>
      </c>
    </row>
    <row r="3096" spans="1:14" ht="15">
      <c r="A3096" s="4">
        <v>201408</v>
      </c>
      <c r="B3096" t="s">
        <v>1709</v>
      </c>
      <c r="C3096" s="5">
        <v>6589774</v>
      </c>
      <c r="D3096" s="2" t="s">
        <v>1745</v>
      </c>
      <c r="E3096" s="2" t="s">
        <v>238</v>
      </c>
      <c r="F3096" s="3">
        <v>388.8</v>
      </c>
      <c r="G3096" t="s">
        <v>57</v>
      </c>
      <c r="H3096" s="1" t="s">
        <v>60</v>
      </c>
      <c r="I3096">
        <f>-71950/2470/1</f>
        <v>-29.129554655870447</v>
      </c>
      <c r="J3096" t="s">
        <v>1711</v>
      </c>
      <c r="K3096" t="s">
        <v>1303</v>
      </c>
      <c r="L3096" t="s">
        <v>1323</v>
      </c>
      <c r="N3096" t="s">
        <v>58</v>
      </c>
    </row>
    <row r="3097" spans="1:13" ht="15">
      <c r="A3097" s="4">
        <v>201408</v>
      </c>
      <c r="B3097" t="s">
        <v>1709</v>
      </c>
      <c r="C3097" s="5">
        <v>6589774</v>
      </c>
      <c r="D3097" s="2" t="s">
        <v>1745</v>
      </c>
      <c r="E3097" s="2" t="s">
        <v>238</v>
      </c>
      <c r="F3097" s="3">
        <v>6480</v>
      </c>
      <c r="G3097" t="s">
        <v>1364</v>
      </c>
      <c r="H3097" s="1" t="s">
        <v>60</v>
      </c>
      <c r="I3097" t="e">
        <f>-MANIFOLD-HLSSM25gpm-Rexroth,SERVO STRAINER MANIFOLD</f>
        <v>#NAME?</v>
      </c>
      <c r="J3097" t="s">
        <v>1711</v>
      </c>
      <c r="K3097" t="s">
        <v>1303</v>
      </c>
      <c r="L3097" t="s">
        <v>1323</v>
      </c>
      <c r="M3097">
        <v>909305</v>
      </c>
    </row>
    <row r="3098" spans="1:12" ht="15">
      <c r="A3098" s="4">
        <v>201409</v>
      </c>
      <c r="B3098" t="s">
        <v>1709</v>
      </c>
      <c r="C3098" s="5">
        <v>6606449</v>
      </c>
      <c r="D3098" s="2" t="s">
        <v>1747</v>
      </c>
      <c r="E3098" s="2" t="s">
        <v>99</v>
      </c>
      <c r="F3098" s="3">
        <v>0.33</v>
      </c>
      <c r="H3098" s="1" t="s">
        <v>66</v>
      </c>
      <c r="I3098" t="s">
        <v>67</v>
      </c>
      <c r="J3098" t="s">
        <v>1711</v>
      </c>
      <c r="K3098" t="s">
        <v>1303</v>
      </c>
      <c r="L3098" t="s">
        <v>1323</v>
      </c>
    </row>
    <row r="3099" spans="1:14" ht="15">
      <c r="A3099" s="4">
        <v>201410</v>
      </c>
      <c r="B3099" t="s">
        <v>1709</v>
      </c>
      <c r="C3099" s="5">
        <v>6612234</v>
      </c>
      <c r="D3099" s="2" t="s">
        <v>1748</v>
      </c>
      <c r="E3099" s="2" t="s">
        <v>269</v>
      </c>
      <c r="F3099" s="3">
        <v>51.1</v>
      </c>
      <c r="G3099" t="s">
        <v>57</v>
      </c>
      <c r="H3099" s="1" t="s">
        <v>60</v>
      </c>
      <c r="I3099">
        <f>-20695/300202/1</f>
        <v>-0.06893691581002125</v>
      </c>
      <c r="J3099" t="s">
        <v>1711</v>
      </c>
      <c r="K3099" t="s">
        <v>1303</v>
      </c>
      <c r="L3099" t="s">
        <v>1323</v>
      </c>
      <c r="N3099" t="s">
        <v>58</v>
      </c>
    </row>
    <row r="3100" spans="1:13" ht="15">
      <c r="A3100" s="4">
        <v>201410</v>
      </c>
      <c r="B3100" t="s">
        <v>1709</v>
      </c>
      <c r="C3100" s="5">
        <v>6612234</v>
      </c>
      <c r="D3100" s="2" t="s">
        <v>1748</v>
      </c>
      <c r="E3100" s="2" t="s">
        <v>269</v>
      </c>
      <c r="F3100" s="3">
        <v>851.62</v>
      </c>
      <c r="G3100" t="s">
        <v>1749</v>
      </c>
      <c r="H3100" s="1" t="s">
        <v>60</v>
      </c>
      <c r="I3100" t="s">
        <v>1750</v>
      </c>
      <c r="J3100" t="s">
        <v>1711</v>
      </c>
      <c r="K3100" t="s">
        <v>1303</v>
      </c>
      <c r="L3100" t="s">
        <v>1323</v>
      </c>
      <c r="M3100">
        <v>914258</v>
      </c>
    </row>
    <row r="3101" spans="1:14" ht="15">
      <c r="A3101" s="4">
        <v>201410</v>
      </c>
      <c r="B3101" t="s">
        <v>1709</v>
      </c>
      <c r="C3101" s="5">
        <v>6612234</v>
      </c>
      <c r="D3101" s="2" t="s">
        <v>1748</v>
      </c>
      <c r="E3101" s="2" t="s">
        <v>269</v>
      </c>
      <c r="F3101" s="3">
        <v>0.52</v>
      </c>
      <c r="G3101" t="s">
        <v>57</v>
      </c>
      <c r="H3101" s="1" t="s">
        <v>69</v>
      </c>
      <c r="I3101">
        <f>-20695/300202/1</f>
        <v>-0.06893691581002125</v>
      </c>
      <c r="J3101" t="s">
        <v>1711</v>
      </c>
      <c r="K3101" t="s">
        <v>1303</v>
      </c>
      <c r="L3101" t="s">
        <v>1323</v>
      </c>
      <c r="N3101" t="s">
        <v>58</v>
      </c>
    </row>
    <row r="3102" spans="1:12" ht="15">
      <c r="A3102" s="4">
        <v>201410</v>
      </c>
      <c r="B3102" t="s">
        <v>1709</v>
      </c>
      <c r="C3102" s="5">
        <v>6612234</v>
      </c>
      <c r="D3102" s="2" t="s">
        <v>1748</v>
      </c>
      <c r="E3102" s="2" t="s">
        <v>269</v>
      </c>
      <c r="F3102" s="3">
        <v>8.73</v>
      </c>
      <c r="G3102" t="s">
        <v>1749</v>
      </c>
      <c r="H3102" s="1" t="s">
        <v>69</v>
      </c>
      <c r="I3102" t="e">
        <f>-freight</f>
        <v>#NAME?</v>
      </c>
      <c r="J3102" t="s">
        <v>1711</v>
      </c>
      <c r="K3102" t="s">
        <v>1303</v>
      </c>
      <c r="L3102" t="s">
        <v>1323</v>
      </c>
    </row>
    <row r="3103" spans="1:12" ht="15">
      <c r="A3103" s="4">
        <v>201411</v>
      </c>
      <c r="B3103" t="s">
        <v>1709</v>
      </c>
      <c r="C3103" s="5">
        <v>6623303</v>
      </c>
      <c r="D3103" s="2" t="s">
        <v>1751</v>
      </c>
      <c r="E3103" s="2" t="s">
        <v>269</v>
      </c>
      <c r="F3103" s="3">
        <v>7150</v>
      </c>
      <c r="H3103" s="1" t="s">
        <v>14</v>
      </c>
      <c r="I3103" t="s">
        <v>333</v>
      </c>
      <c r="J3103" t="s">
        <v>1711</v>
      </c>
      <c r="K3103" t="s">
        <v>1303</v>
      </c>
      <c r="L3103" t="s">
        <v>1323</v>
      </c>
    </row>
  </sheetData>
  <autoFilter ref="A1:N3105"/>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Cuzick, Fred</dc:creator>
  <cp:keywords/>
  <dc:description/>
  <cp:lastModifiedBy>Cuzick, Fred</cp:lastModifiedBy>
  <dcterms:created xsi:type="dcterms:W3CDTF">2015-01-10T21:59:39Z</dcterms:created>
  <dcterms:modified xsi:type="dcterms:W3CDTF">2015-01-10T22:18:47Z</dcterms:modified>
  <cp:category/>
  <cp:version/>
  <cp:contentType/>
  <cp:contentStatus/>
</cp:coreProperties>
</file>