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180" windowWidth="20730" windowHeight="11580" activeTab="0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fullCalcOn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<sst xmlns="http://schemas.openxmlformats.org/spreadsheetml/2006/main" count="141" uniqueCount="111">
  <si>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</si>
  <si>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</si>
  <si>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</si>
  <si>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</si>
  <si>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</si>
  <si>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</si>
  <si>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</si>
  <si>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</si>
  <si>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</si>
  <si>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</si>
  <si>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</si>
  <si>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</si>
  <si>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</si>
  <si>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</si>
  <si>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</si>
  <si>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</si>
  <si>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</si>
  <si>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</si>
  <si>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</si>
  <si>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</si>
  <si>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</si>
  <si>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</si>
  <si>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</si>
  <si>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</si>
  <si>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</si>
  <si>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</si>
  <si>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</si>
  <si>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</si>
  <si>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</si>
  <si>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</si>
  <si>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</si>
  <si>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</si>
  <si>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</si>
  <si>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</si>
  <si>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</si>
  <si>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</si>
  <si>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</si>
  <si>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</si>
  <si>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</si>
  <si>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</si>
  <si>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</si>
  <si>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</si>
  <si>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</si>
  <si>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</si>
  <si>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</si>
  <si>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</si>
  <si>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</si>
  <si>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</si>
  <si>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</si>
  <si>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</si>
  <si>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</si>
  <si>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</si>
  <si>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</si>
  <si>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</si>
  <si>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</si>
  <si>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</si>
  <si>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</si>
  <si>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</si>
  <si>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</si>
  <si>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</si>
  <si>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</si>
  <si>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</si>
  <si>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</si>
  <si>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</si>
  <si>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</si>
  <si>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</si>
  <si>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</si>
  <si>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</si>
  <si>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</si>
  <si>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</si>
  <si>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</si>
  <si>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</si>
  <si>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</si>
  <si>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</si>
  <si>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</si>
  <si>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</si>
  <si>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</si>
  <si>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</si>
  <si>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KCTA 1-14, as of 6/30/14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</si>
  <si>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</si>
  <si>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</si>
  <si>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</si>
  <si>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</si>
  <si>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</si>
  <si>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</si>
  <si>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</si>
  <si>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Per KCTA 1-21</t>
  </si>
  <si>
    <t>Electric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</si>
  <si>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</si>
  <si>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</si>
  <si>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</si>
  <si>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</si>
  <si>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</si>
  <si>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</si>
  <si>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</si>
  <si>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</si>
  <si>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</si>
  <si>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Sinking Fund Factor</t>
  </si>
  <si>
    <t>See KPSC Case 2000-414</t>
  </si>
  <si>
    <t>KPSC Admin 251,Case 2004-00319</t>
  </si>
  <si>
    <t>n/a</t>
  </si>
  <si>
    <t>Kentucky Utilities Company Data As Of:</t>
  </si>
  <si>
    <t>TOTAL A&amp;G - Reconciliation of KU Data</t>
  </si>
  <si>
    <t>KCTA 1-1,1-21 (A&amp;G Tab)</t>
  </si>
  <si>
    <t>Total Labor - General Ledger All Accounts</t>
  </si>
  <si>
    <t>A&amp;G Expenses Assigned to Poles Based on Gen Ledg</t>
  </si>
  <si>
    <t>KCTA 2-4</t>
  </si>
  <si>
    <t>KCTA 1-1, prorated 2014</t>
  </si>
  <si>
    <t>KCTA 1-1, prorated 2014 per 2-4</t>
  </si>
  <si>
    <t>Total Labor -Electric Cost of Service</t>
  </si>
  <si>
    <t>Gross Investment Account 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</si>
</sst>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"/>
        <bgColor indexed="64"/>
      </patternFill>
    </fill>
    <fill>
      <patternFill patternType="solid">
        <fgColor theme="0" tint="-0.3499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4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Protection="1">
      <protection/>
    </xf>
    <xf numFmtId="0" fontId="1" fillId="0" borderId="0" xfId="0" applyFont="1" applyAlignment="1" applyProtection="1" quotePrefix="1">
      <alignment horizontal="left"/>
      <protection/>
    </xf>
    <xf numFmtId="8" fontId="1" fillId="0" borderId="0" xfId="0" applyNumberFormat="1" applyFont="1" applyFill="1" applyProtection="1">
      <protection/>
    </xf>
    <xf numFmtId="8" fontId="1" fillId="0" borderId="0" xfId="0" applyNumberFormat="1" applyFont="1" applyProtection="1">
      <protection/>
    </xf>
    <xf numFmtId="10" fontId="1" fillId="0" borderId="0" xfId="0" applyNumberFormat="1" applyFont="1" applyFill="1" applyProtection="1">
      <protection/>
    </xf>
    <xf numFmtId="0" fontId="1" fillId="3" borderId="0" xfId="0" applyFont="1" applyFill="1" applyProtection="1">
      <protection/>
    </xf>
    <xf numFmtId="0" fontId="1" fillId="0" borderId="0" xfId="0" applyFont="1" applyBorder="1" applyAlignment="1" applyProtection="1" quotePrefix="1">
      <alignment horizontal="left"/>
      <protection/>
    </xf>
    <xf numFmtId="10" fontId="1" fillId="0" borderId="0" xfId="15" applyNumberFormat="1" applyFont="1" applyFill="1" applyProtection="1">
      <protection/>
    </xf>
    <xf numFmtId="0" fontId="2" fillId="0" borderId="0" xfId="0" applyFont="1" applyFill="1" applyAlignment="1" applyProtection="1">
      <alignment horizontal="left"/>
      <protection/>
    </xf>
    <xf numFmtId="7" fontId="1" fillId="0" borderId="0" xfId="16" applyNumberFormat="1" applyFont="1" applyFill="1" applyProtection="1">
      <protection/>
    </xf>
    <xf numFmtId="164" fontId="0" fillId="0" borderId="0" xfId="0" applyNumberFormat="1"/>
    <xf numFmtId="10" fontId="0" fillId="0" borderId="0" xfId="15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43" fontId="1" fillId="0" borderId="0" xfId="18" applyFont="1" applyFill="1" applyProtection="1">
      <protection/>
    </xf>
    <xf numFmtId="165" fontId="1" fillId="0" borderId="0" xfId="18" applyNumberFormat="1" applyFont="1" applyFill="1" applyProtection="1">
      <protection/>
    </xf>
    <xf numFmtId="165" fontId="0" fillId="0" borderId="0" xfId="18" applyNumberFormat="1" applyFont="1" applyFill="1"/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>
      <alignment/>
    </xf>
    <xf numFmtId="10" fontId="1" fillId="0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Protection="1">
      <protection/>
    </xf>
    <xf numFmtId="165" fontId="0" fillId="0" borderId="0" xfId="18" applyNumberFormat="1" applyFont="1"/>
    <xf numFmtId="167" fontId="1" fillId="0" borderId="0" xfId="0" applyNumberFormat="1" applyFont="1" applyFill="1" applyProtection="1">
      <protection/>
    </xf>
    <xf numFmtId="167" fontId="0" fillId="0" borderId="0" xfId="0" applyNumberFormat="1"/>
    <xf numFmtId="164" fontId="2" fillId="0" borderId="0" xfId="0" applyNumberFormat="1" applyFont="1" applyFill="1" applyProtection="1">
      <protection/>
    </xf>
    <xf numFmtId="9" fontId="0" fillId="0" borderId="0" xfId="15" applyFont="1"/>
    <xf numFmtId="0" fontId="0" fillId="0" borderId="0" xfId="0" applyFill="1" applyBorder="1"/>
    <xf numFmtId="0" fontId="0" fillId="0" borderId="0" xfId="0" applyFill="1" applyProtection="1">
      <protection/>
    </xf>
    <xf numFmtId="10" fontId="0" fillId="0" borderId="0" xfId="15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18" applyNumberFormat="1" applyFont="1" applyFill="1" applyProtection="1">
      <protection/>
    </xf>
    <xf numFmtId="0" fontId="2" fillId="5" borderId="0" xfId="0" applyFont="1" applyFill="1" applyAlignment="1" applyProtection="1">
      <alignment horizontal="left"/>
      <protection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16" applyNumberFormat="1" applyFont="1" applyFill="1" applyBorder="1" applyProtection="1">
      <protection/>
    </xf>
    <xf numFmtId="169" fontId="1" fillId="0" borderId="0" xfId="0" applyNumberFormat="1" applyFont="1" applyFill="1" applyProtection="1">
      <protection/>
    </xf>
    <xf numFmtId="5" fontId="1" fillId="0" borderId="0" xfId="0" applyNumberFormat="1" applyFont="1" applyFill="1" applyProtection="1">
      <protection/>
    </xf>
    <xf numFmtId="5" fontId="0" fillId="0" borderId="0" xfId="0" applyNumberFormat="1" applyFill="1" applyBorder="1" applyAlignment="1">
      <alignment/>
    </xf>
    <xf numFmtId="5" fontId="1" fillId="0" borderId="0" xfId="16" applyNumberFormat="1" applyFont="1" applyFill="1" applyBorder="1" applyProtection="1">
      <protection/>
    </xf>
    <xf numFmtId="15" fontId="7" fillId="0" borderId="0" xfId="0" applyNumberFormat="1" applyFont="1" applyAlignment="1">
      <alignment horizontal="center"/>
    </xf>
    <xf numFmtId="0" fontId="0" fillId="0" borderId="0" xfId="0" applyFill="1" quotePrefix="1"/>
    <xf numFmtId="169" fontId="0" fillId="0" borderId="0" xfId="0" applyNumberForma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18" applyNumberFormat="1" applyFont="1" applyBorder="1"/>
    <xf numFmtId="165" fontId="4" fillId="0" borderId="1" xfId="18" applyNumberFormat="1" applyFont="1" applyBorder="1"/>
    <xf numFmtId="165" fontId="0" fillId="0" borderId="1" xfId="18" applyNumberFormat="1" applyFont="1" applyBorder="1"/>
    <xf numFmtId="169" fontId="0" fillId="6" borderId="0" xfId="0" applyNumberFormat="1" applyFill="1"/>
    <xf numFmtId="5" fontId="1" fillId="0" borderId="0" xfId="16" applyNumberFormat="1" applyFont="1" applyFill="1" applyProtection="1">
      <protection/>
    </xf>
    <xf numFmtId="169" fontId="1" fillId="0" borderId="0" xfId="16" applyNumberFormat="1" applyFont="1" applyFill="1" applyProtection="1">
      <protection/>
    </xf>
    <xf numFmtId="0" fontId="9" fillId="0" borderId="0" xfId="0" applyFont="1"/>
    <xf numFmtId="0" fontId="1" fillId="0" borderId="2" xfId="0" applyFont="1" applyFill="1" applyBorder="1" applyAlignment="1" applyProtection="1">
      <alignment horizontal="left"/>
      <protection/>
    </xf>
    <xf numFmtId="10" fontId="1" fillId="0" borderId="0" xfId="0" applyNumberFormat="1" applyFont="1" applyFill="1" applyBorder="1" applyProtection="1">
      <protection/>
    </xf>
    <xf numFmtId="10" fontId="1" fillId="0" borderId="3" xfId="0" applyNumberFormat="1" applyFont="1" applyFill="1" applyBorder="1" applyProtection="1">
      <protection/>
    </xf>
    <xf numFmtId="164" fontId="2" fillId="0" borderId="4" xfId="0" applyNumberFormat="1" applyFont="1" applyFill="1" applyBorder="1" applyProtection="1">
      <protection/>
    </xf>
    <xf numFmtId="165" fontId="1" fillId="0" borderId="0" xfId="0" applyNumberFormat="1" applyFont="1" applyFill="1" applyBorder="1" applyProtection="1">
      <protection/>
    </xf>
    <xf numFmtId="165" fontId="0" fillId="0" borderId="0" xfId="0" applyNumberFormat="1" applyFill="1" applyBorder="1"/>
    <xf numFmtId="165" fontId="1" fillId="0" borderId="3" xfId="0" applyNumberFormat="1" applyFont="1" applyFill="1" applyBorder="1" applyProtection="1">
      <protection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/>
    <xf numFmtId="0" fontId="0" fillId="0" borderId="0" xfId="0" applyFont="1" applyFill="1"/>
    <xf numFmtId="0" fontId="10" fillId="0" borderId="0" xfId="0" applyFont="1"/>
    <xf numFmtId="165" fontId="11" fillId="0" borderId="0" xfId="18" applyNumberFormat="1" applyFont="1"/>
    <xf numFmtId="165" fontId="11" fillId="0" borderId="0" xfId="18" applyNumberFormat="1" applyFont="1" applyFill="1"/>
    <xf numFmtId="0" fontId="0" fillId="0" borderId="0" xfId="0" applyFont="1"/>
    <xf numFmtId="0" fontId="10" fillId="0" borderId="0" xfId="0" applyFont="1" applyFill="1"/>
    <xf numFmtId="0" fontId="12" fillId="0" borderId="0" xfId="0" applyFont="1"/>
    <xf numFmtId="0" fontId="10" fillId="0" borderId="0" xfId="0" applyFont="1" applyFill="1" quotePrefix="1"/>
    <xf numFmtId="10" fontId="10" fillId="0" borderId="0" xfId="15" applyNumberFormat="1" applyFont="1"/>
    <xf numFmtId="169" fontId="13" fillId="0" borderId="0" xfId="16" applyNumberFormat="1" applyFont="1" applyFill="1" applyProtection="1">
      <protection/>
    </xf>
    <xf numFmtId="169" fontId="10" fillId="0" borderId="0" xfId="0" applyNumberFormat="1" applyFont="1" applyFill="1"/>
    <xf numFmtId="169" fontId="13" fillId="0" borderId="0" xfId="0" applyNumberFormat="1" applyFont="1" applyFill="1" applyProtection="1">
      <protection/>
    </xf>
    <xf numFmtId="9" fontId="10" fillId="0" borderId="0" xfId="15" applyFont="1" quotePrefix="1"/>
    <xf numFmtId="15" fontId="7" fillId="0" borderId="0" xfId="0" applyNumberFormat="1" applyFont="1" applyFill="1" applyAlignment="1">
      <alignment horizontal="center"/>
    </xf>
    <xf numFmtId="0" fontId="9" fillId="0" borderId="0" xfId="0" applyFont="1" applyFill="1"/>
    <xf numFmtId="169" fontId="10" fillId="0" borderId="0" xfId="0" applyNumberFormat="1" applyFont="1"/>
    <xf numFmtId="170" fontId="10" fillId="0" borderId="0" xfId="16" applyNumberFormat="1" applyFont="1"/>
    <xf numFmtId="169" fontId="0" fillId="0" borderId="0" xfId="16" applyNumberFormat="1" applyFont="1"/>
    <xf numFmtId="169" fontId="0" fillId="0" borderId="0" xfId="16" applyNumberFormat="1" applyFont="1" applyFill="1"/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</cellXfs>
  <cellStyles count="3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zoomScale="150" zoomScaleNormal="150" zoomScalePageLayoutView="150" workbookViewId="0" topLeftCell="A1">
      <selection pane="topLeft" activeCell="B1" sqref="B1"/>
    </sheetView>
  </sheetViews>
  <sheetFormatPr defaultColWidth="8.85546875" defaultRowHeight="15"/>
  <cols>
    <col min="1" max="1" width="46" customWidth="1"/>
    <col min="2" max="2" width="16.2857142857143" bestFit="1" customWidth="1"/>
    <col min="3" max="3" width="19.4285714285714" customWidth="1"/>
    <col min="4" max="4" width="1.71428571428571" customWidth="1"/>
    <col min="5" max="5" width="16.2857142857143" customWidth="1"/>
    <col min="6" max="6" width="16.4285714285714" bestFit="1" customWidth="1"/>
    <col min="7" max="7" width="28.7142857142857" bestFit="1" customWidth="1"/>
  </cols>
  <sheetData>
    <row r="1" spans="1:5" ht="15">
      <c r="A1" t="s">
        <v>101</v>
      </c>
      <c r="B1" s="48">
        <v>40999</v>
      </c>
      <c r="C1" s="33"/>
      <c r="D1" s="33"/>
      <c r="E1" s="48">
        <v>41943</v>
      </c>
    </row>
    <row r="2" spans="1:7" ht="15">
      <c r="A2" s="2" t="s">
        <v>15</v>
      </c>
      <c r="B2" s="38" t="s">
        <v>13</v>
      </c>
      <c r="C2" s="38" t="s">
        <v>14</v>
      </c>
      <c r="D2" s="38"/>
      <c r="E2" s="17" t="s">
        <v>63</v>
      </c>
      <c r="F2" s="17" t="s">
        <v>14</v>
      </c>
      <c r="G2" s="38" t="s">
        <v>91</v>
      </c>
    </row>
    <row r="3" spans="1:7" ht="15">
      <c r="A3" s="3" t="s">
        <v>19</v>
      </c>
      <c r="G3" s="75"/>
    </row>
    <row r="4" spans="1:7" ht="15">
      <c r="A4" s="5" t="s">
        <v>16</v>
      </c>
      <c r="B4" s="39">
        <f>+B108</f>
        <v>19574073.56</v>
      </c>
      <c r="E4" s="39">
        <f>+E108</f>
        <v>23026482.34</v>
      </c>
      <c r="G4" s="61"/>
    </row>
    <row r="5" spans="1:7" ht="15">
      <c r="A5" s="5" t="s">
        <v>17</v>
      </c>
      <c r="B5" s="39">
        <f>+B109</f>
        <v>88285296.24</v>
      </c>
      <c r="C5" s="39">
        <f>+C109</f>
        <v>88285296.24</v>
      </c>
      <c r="D5" s="39"/>
      <c r="E5" s="39">
        <f>+E109</f>
        <v>97115086.75</v>
      </c>
      <c r="F5" s="39">
        <f>+F109</f>
        <v>97115086.75</v>
      </c>
      <c r="G5" s="72"/>
    </row>
    <row r="6" spans="1:7" ht="15.75">
      <c r="A6" s="3" t="s">
        <v>18</v>
      </c>
      <c r="B6" s="54"/>
      <c r="C6" s="52">
        <f>+C110</f>
        <v>60919552.94</v>
      </c>
      <c r="D6" s="53"/>
      <c r="E6" s="54"/>
      <c r="F6" s="52">
        <f>+F110</f>
        <v>73792803.57</v>
      </c>
      <c r="G6" s="72"/>
    </row>
    <row r="7" spans="1:7" ht="15.75">
      <c r="A7" s="3" t="s">
        <v>21</v>
      </c>
      <c r="B7" s="47">
        <f>+B4+B5</f>
        <v>107859369.8</v>
      </c>
      <c r="C7" s="46">
        <f>+C6+C5</f>
        <v>149204849.18</v>
      </c>
      <c r="D7" s="24"/>
      <c r="E7" s="47">
        <f>+E4+E5</f>
        <v>120141569.09</v>
      </c>
      <c r="F7" s="46">
        <f>+F6+F5</f>
        <v>170907890.32</v>
      </c>
      <c r="G7" s="72"/>
    </row>
    <row r="8" spans="1:7" ht="15">
      <c r="A8" s="3" t="s">
        <v>30</v>
      </c>
      <c r="B8" s="39">
        <f>+B7*B89</f>
        <v>16178905.47</v>
      </c>
      <c r="C8" s="39">
        <f>+C7*C89</f>
        <v>22380727.377</v>
      </c>
      <c r="E8" s="39">
        <f>+E7*E89</f>
        <v>18021235.3635</v>
      </c>
      <c r="F8" s="39">
        <f>+F7*F89</f>
        <v>25636183.548</v>
      </c>
      <c r="G8" s="72" t="s">
        <v>99</v>
      </c>
    </row>
    <row r="9" spans="1:7" ht="15">
      <c r="A9" s="3" t="s">
        <v>29</v>
      </c>
      <c r="B9" s="43">
        <f>+B7-B8</f>
        <v>91680464.33</v>
      </c>
      <c r="C9" s="47">
        <f>+C7-C8</f>
        <v>126824121.803</v>
      </c>
      <c r="E9" s="43">
        <f>+E7-E8</f>
        <v>102120333.7265</v>
      </c>
      <c r="F9" s="47">
        <f>+F7-F8</f>
        <v>145271706.772</v>
      </c>
      <c r="G9" s="72"/>
    </row>
    <row r="10" spans="1:7" ht="15">
      <c r="A10" s="3" t="s">
        <v>56</v>
      </c>
      <c r="B10" s="41"/>
      <c r="G10" s="72"/>
    </row>
    <row r="11" spans="1:7" ht="15">
      <c r="A11" s="5" t="s">
        <v>16</v>
      </c>
      <c r="B11" s="27">
        <f>+B113</f>
        <v>87560</v>
      </c>
      <c r="C11" s="27"/>
      <c r="D11" s="27"/>
      <c r="E11" s="27">
        <f>+E113</f>
        <v>87362</v>
      </c>
      <c r="F11" s="27"/>
      <c r="G11" s="72"/>
    </row>
    <row r="12" spans="1:7" ht="15">
      <c r="A12" s="5" t="s">
        <v>17</v>
      </c>
      <c r="B12" s="27">
        <f>+B114</f>
        <v>141468</v>
      </c>
      <c r="C12" s="27">
        <f>+C114</f>
        <v>141468</v>
      </c>
      <c r="D12" s="27"/>
      <c r="E12" s="27">
        <f>+E114</f>
        <v>140885</v>
      </c>
      <c r="F12" s="27">
        <f>+F114</f>
        <v>140885</v>
      </c>
      <c r="G12" s="76"/>
    </row>
    <row r="13" spans="1:7" ht="15.75">
      <c r="A13" s="3" t="s">
        <v>18</v>
      </c>
      <c r="B13" s="56"/>
      <c r="C13" s="57">
        <f>+C115</f>
        <v>66277</v>
      </c>
      <c r="D13" s="55"/>
      <c r="E13" s="56"/>
      <c r="F13" s="57">
        <f>+F115</f>
        <v>69359</v>
      </c>
      <c r="G13" s="72"/>
    </row>
    <row r="14" spans="1:7" ht="15.75">
      <c r="A14" s="5" t="s">
        <v>22</v>
      </c>
      <c r="B14" s="20">
        <f>+B11+B12</f>
        <v>229028</v>
      </c>
      <c r="C14" s="21">
        <f>+C13+C12</f>
        <v>207745</v>
      </c>
      <c r="D14" s="21"/>
      <c r="E14" s="20">
        <f>+E11+E12</f>
        <v>228247</v>
      </c>
      <c r="F14" s="21">
        <f>+F13+F12</f>
        <v>210244</v>
      </c>
      <c r="G14" s="79"/>
    </row>
    <row r="15" spans="1:7" ht="15">
      <c r="A15" s="18"/>
      <c r="C15" s="23"/>
      <c r="D15" s="23"/>
      <c r="E15" s="16"/>
      <c r="F15" s="16"/>
      <c r="G15" s="72"/>
    </row>
    <row r="16" spans="1:7" ht="15">
      <c r="A16" s="5" t="s">
        <v>20</v>
      </c>
      <c r="B16" s="13">
        <f>+B9/B14</f>
        <v>400.302427345128</v>
      </c>
      <c r="C16" s="13">
        <f>+C9/C14</f>
        <v>610.479779551854</v>
      </c>
      <c r="D16" s="13"/>
      <c r="E16" s="13">
        <f>+E9/E14</f>
        <v>447.411504758003</v>
      </c>
      <c r="F16" s="13">
        <f>+F9/F14</f>
        <v>690.967194174388</v>
      </c>
      <c r="G16" s="72"/>
    </row>
    <row r="17" spans="1:7" ht="15">
      <c r="A17" s="7" t="s">
        <v>0</v>
      </c>
      <c r="C17" s="23"/>
      <c r="D17" s="23"/>
      <c r="F17" s="42"/>
      <c r="G17" s="72"/>
    </row>
    <row r="18" spans="1:7" ht="15">
      <c r="A18" s="2" t="s">
        <v>1</v>
      </c>
      <c r="G18" s="72"/>
    </row>
    <row r="19" spans="1:7" ht="15">
      <c r="A19" s="12"/>
      <c r="G19" s="72"/>
    </row>
    <row r="20" spans="1:7" ht="15">
      <c r="A20" s="1" t="s">
        <v>23</v>
      </c>
      <c r="B20" s="8">
        <f>+B84</f>
        <v>0.0762</v>
      </c>
      <c r="C20" s="8">
        <f>+C84</f>
        <v>0.0762</v>
      </c>
      <c r="D20" s="8"/>
      <c r="E20" s="8">
        <f>+E84</f>
        <v>0.0723</v>
      </c>
      <c r="F20" s="8">
        <f>+F84</f>
        <v>0.0723</v>
      </c>
      <c r="G20" s="76"/>
    </row>
    <row r="21" spans="1:7" ht="15">
      <c r="A21" s="3" t="s">
        <v>36</v>
      </c>
      <c r="B21" s="45">
        <f>+B22-B$79</f>
        <v>156092770.51</v>
      </c>
      <c r="C21" s="45">
        <f>+C22-C79</f>
        <v>156092770.51</v>
      </c>
      <c r="D21" s="45"/>
      <c r="E21" s="45">
        <f>+E22-E$79</f>
        <v>181349878.36</v>
      </c>
      <c r="F21" s="45">
        <f>+F22-F79</f>
        <v>181349878.36</v>
      </c>
      <c r="G21" s="72"/>
    </row>
    <row r="22" spans="1:7" ht="15">
      <c r="A22" s="3" t="s">
        <v>25</v>
      </c>
      <c r="B22" s="59">
        <f>+B74</f>
        <v>290296125.53</v>
      </c>
      <c r="C22" s="59">
        <f>+C74</f>
        <v>290296125.53</v>
      </c>
      <c r="D22" s="59"/>
      <c r="E22" s="59">
        <f>+E74</f>
        <v>328470050.83</v>
      </c>
      <c r="F22" s="59">
        <f>+F74</f>
        <v>328470050.83</v>
      </c>
      <c r="G22" s="72"/>
    </row>
    <row r="23" spans="1:7" ht="15">
      <c r="A23" s="3" t="s">
        <v>62</v>
      </c>
      <c r="B23" s="37">
        <f>+B21/B22</f>
        <v>0.537701873302711</v>
      </c>
      <c r="C23" s="37">
        <f>+C21/C22</f>
        <v>0.537701873302711</v>
      </c>
      <c r="D23" s="19"/>
      <c r="E23" s="37">
        <f>+E21/E22</f>
        <v>0.552104759328143</v>
      </c>
      <c r="F23" s="37">
        <f>+F21/F22</f>
        <v>0.552104759328143</v>
      </c>
      <c r="G23" s="72" t="s">
        <v>98</v>
      </c>
    </row>
    <row r="24" spans="1:7" ht="15">
      <c r="A24" s="22" t="s">
        <v>24</v>
      </c>
      <c r="B24" s="8">
        <f>+B20*B23</f>
        <v>0.0409728827456666</v>
      </c>
      <c r="C24" s="8">
        <f>+C20*C23</f>
        <v>0.0409728827456666</v>
      </c>
      <c r="D24" s="8"/>
      <c r="E24" s="8">
        <f>+E20*E23</f>
        <v>0.0399171740994247</v>
      </c>
      <c r="F24" s="8">
        <f>+F20*F23</f>
        <v>0.0399171740994247</v>
      </c>
      <c r="G24" s="72"/>
    </row>
    <row r="25" spans="1:7" ht="15">
      <c r="A25" s="12"/>
      <c r="G25" s="72"/>
    </row>
    <row r="26" spans="1:7" ht="15">
      <c r="A26" s="12" t="s">
        <v>27</v>
      </c>
      <c r="G26" s="72"/>
    </row>
    <row r="27" spans="1:7" ht="15">
      <c r="A27" s="22" t="s">
        <v>24</v>
      </c>
      <c r="B27" s="11">
        <f>+B24</f>
        <v>0.0409728827456666</v>
      </c>
      <c r="C27" s="11">
        <f>+C24</f>
        <v>0.0409728827456666</v>
      </c>
      <c r="D27" s="11"/>
      <c r="E27" s="11">
        <f>+E24</f>
        <v>0.0399171740994247</v>
      </c>
      <c r="F27" s="11">
        <f>+F24</f>
        <v>0.0399171740994247</v>
      </c>
      <c r="G27" s="72"/>
    </row>
    <row r="28" spans="1:7" ht="15">
      <c r="A28" s="22" t="s">
        <v>26</v>
      </c>
      <c r="B28" s="4">
        <v>35</v>
      </c>
      <c r="C28" s="4">
        <v>35</v>
      </c>
      <c r="D28" s="4"/>
      <c r="E28">
        <v>35</v>
      </c>
      <c r="F28">
        <v>35</v>
      </c>
      <c r="G28" s="72"/>
    </row>
    <row r="29" spans="1:7" ht="15">
      <c r="A29" s="22" t="s">
        <v>97</v>
      </c>
      <c r="B29" s="11">
        <f t="shared" si="0" ref="B29:F29">B27/((1+B27)^B28-1)</f>
        <v>0.0133142754131986</v>
      </c>
      <c r="C29" s="11">
        <f t="shared" si="0"/>
        <v>0.0133142754131986</v>
      </c>
      <c r="D29" s="11"/>
      <c r="E29" s="11">
        <f t="shared" si="0"/>
        <v>0.0135999157903436</v>
      </c>
      <c r="F29" s="11">
        <f t="shared" si="0"/>
        <v>0.0135999157903436</v>
      </c>
      <c r="G29" s="72"/>
    </row>
    <row r="30" spans="1:7" ht="15">
      <c r="A30" s="12"/>
      <c r="G30" s="72"/>
    </row>
    <row r="31" spans="1:7" ht="15">
      <c r="A31" s="12" t="s">
        <v>28</v>
      </c>
      <c r="G31" s="72"/>
    </row>
    <row r="32" spans="1:7" ht="15">
      <c r="A32" s="22" t="s">
        <v>31</v>
      </c>
      <c r="B32" s="8">
        <f>+B85</f>
        <v>0.11</v>
      </c>
      <c r="C32" s="25">
        <f>+B85</f>
        <v>0.11</v>
      </c>
      <c r="D32" s="25"/>
      <c r="E32" s="8">
        <f>+E85</f>
        <v>0.105</v>
      </c>
      <c r="F32" s="8">
        <f>+F85</f>
        <v>0.105</v>
      </c>
      <c r="G32" s="76"/>
    </row>
    <row r="33" spans="1:7" ht="15">
      <c r="A33" s="22" t="s">
        <v>33</v>
      </c>
      <c r="B33" s="11">
        <f>+B86</f>
        <v>0.537</v>
      </c>
      <c r="C33" s="11">
        <f>+C86</f>
        <v>0.537</v>
      </c>
      <c r="D33" s="25"/>
      <c r="E33" s="11">
        <f>+E86</f>
        <v>0.5356</v>
      </c>
      <c r="F33" s="11">
        <f>+F86</f>
        <v>0.5356</v>
      </c>
      <c r="G33" s="76"/>
    </row>
    <row r="34" spans="1:7" ht="15">
      <c r="A34" s="22" t="s">
        <v>34</v>
      </c>
      <c r="B34" s="11">
        <f>+B33*B32</f>
        <v>0.05907</v>
      </c>
      <c r="C34" s="11">
        <f>+C33*C32</f>
        <v>0.05907</v>
      </c>
      <c r="D34" s="11"/>
      <c r="E34" s="11">
        <f>+E33*E32</f>
        <v>0.056238</v>
      </c>
      <c r="F34" s="11">
        <f>+F33*F32</f>
        <v>0.056238</v>
      </c>
      <c r="G34" s="76"/>
    </row>
    <row r="35" spans="1:7" ht="15">
      <c r="A35" s="3" t="s">
        <v>36</v>
      </c>
      <c r="B35" s="45">
        <f>+B36-B$79</f>
        <v>156092770.51</v>
      </c>
      <c r="C35" s="45">
        <f>+C36-B79</f>
        <v>156092770.51</v>
      </c>
      <c r="D35" s="45"/>
      <c r="E35" s="45">
        <f>+E36-E$79</f>
        <v>181349878.36</v>
      </c>
      <c r="F35" s="45">
        <f>+F36-E79</f>
        <v>181349878.36</v>
      </c>
      <c r="G35" s="76"/>
    </row>
    <row r="36" spans="1:7" ht="15">
      <c r="A36" s="3" t="s">
        <v>25</v>
      </c>
      <c r="B36" s="59">
        <f>+B74</f>
        <v>290296125.53</v>
      </c>
      <c r="C36" s="59">
        <f>+B74</f>
        <v>290296125.53</v>
      </c>
      <c r="D36" s="59"/>
      <c r="E36" s="59">
        <f>+E74</f>
        <v>328470050.83</v>
      </c>
      <c r="F36" s="59">
        <f>+F74</f>
        <v>328470050.83</v>
      </c>
      <c r="G36" s="76"/>
    </row>
    <row r="37" spans="1:7" ht="15">
      <c r="A37" s="3" t="s">
        <v>62</v>
      </c>
      <c r="B37" s="37">
        <f t="shared" si="1" ref="B37:C37">+B35/B36</f>
        <v>0.537701873302711</v>
      </c>
      <c r="C37" s="37">
        <f t="shared" si="1"/>
        <v>0.537701873302711</v>
      </c>
      <c r="D37" s="37"/>
      <c r="E37" s="37">
        <f t="shared" si="2" ref="E37:F37">+E35/E36</f>
        <v>0.552104759328143</v>
      </c>
      <c r="F37" s="37">
        <f t="shared" si="2"/>
        <v>0.552104759328143</v>
      </c>
      <c r="G37" s="72" t="s">
        <v>98</v>
      </c>
    </row>
    <row r="38" spans="1:7" ht="15">
      <c r="A38" s="22" t="s">
        <v>35</v>
      </c>
      <c r="B38" s="8">
        <f>+B34*B37</f>
        <v>0.0317620496559912</v>
      </c>
      <c r="C38" s="8">
        <f>+C34*C37</f>
        <v>0.0317620496559912</v>
      </c>
      <c r="D38" s="8"/>
      <c r="E38" s="8">
        <f>+E34*E37</f>
        <v>0.0310492674550961</v>
      </c>
      <c r="F38" s="8">
        <f>+F34*F37</f>
        <v>0.0310492674550961</v>
      </c>
      <c r="G38" s="76"/>
    </row>
    <row r="39" spans="1:7" ht="15">
      <c r="A39" s="22" t="s">
        <v>37</v>
      </c>
      <c r="B39" s="8">
        <f>+$B$87</f>
        <v>0.3675</v>
      </c>
      <c r="C39" s="8">
        <f>+C$87</f>
        <v>0.3675</v>
      </c>
      <c r="D39" s="8"/>
      <c r="E39" s="8">
        <f>+E$87</f>
        <v>0.368644</v>
      </c>
      <c r="F39" s="8">
        <f>+F$87</f>
        <v>0.368644</v>
      </c>
      <c r="G39" s="76"/>
    </row>
    <row r="40" spans="1:7" ht="15">
      <c r="A40" s="22" t="s">
        <v>83</v>
      </c>
      <c r="B40" s="11">
        <f>+(B39/(1-B39))*B38</f>
        <v>0.0184546296420186</v>
      </c>
      <c r="C40" s="11">
        <f>+(C39/(1-C39))*C38</f>
        <v>0.0184546296420186</v>
      </c>
      <c r="D40" s="11"/>
      <c r="E40" s="11">
        <f>+(E39/(1-E39))*E38</f>
        <v>0.0181294327633165</v>
      </c>
      <c r="F40" s="11">
        <f>+(F39/(1-F39))*F38</f>
        <v>0.0181294327633165</v>
      </c>
      <c r="G40" s="76"/>
    </row>
    <row r="41" spans="1:7" ht="15">
      <c r="A41" s="22"/>
      <c r="G41" s="72"/>
    </row>
    <row r="42" spans="1:7" ht="15">
      <c r="A42" s="12" t="s">
        <v>38</v>
      </c>
      <c r="G42" s="72"/>
    </row>
    <row r="43" spans="1:7" ht="15">
      <c r="A43" s="22" t="s">
        <v>84</v>
      </c>
      <c r="B43" s="34">
        <v>0.0022</v>
      </c>
      <c r="C43" s="34">
        <v>0.0022</v>
      </c>
      <c r="D43" s="34"/>
      <c r="E43" s="15">
        <v>0.0022</v>
      </c>
      <c r="F43" s="15">
        <v>0.0022</v>
      </c>
      <c r="G43" s="72"/>
    </row>
    <row r="44" ht="15">
      <c r="G44" s="72"/>
    </row>
    <row r="45" spans="1:7" ht="15">
      <c r="A45" s="1" t="s">
        <v>39</v>
      </c>
      <c r="G45" s="72"/>
    </row>
    <row r="46" spans="1:7" ht="15">
      <c r="A46" s="22" t="s">
        <v>48</v>
      </c>
      <c r="B46" s="44">
        <f>+B96</f>
        <v>1118974</v>
      </c>
      <c r="C46" s="44">
        <f>+C96</f>
        <v>1118974</v>
      </c>
      <c r="D46" s="44"/>
      <c r="E46" s="44">
        <f>+E96</f>
        <v>1038011.26883157</v>
      </c>
      <c r="F46" s="44">
        <f>+F96</f>
        <v>1038011.26883157</v>
      </c>
      <c r="G46" s="72"/>
    </row>
    <row r="47" spans="1:7" ht="15">
      <c r="A47" s="22" t="s">
        <v>47</v>
      </c>
      <c r="B47" s="44">
        <f>+B97</f>
        <v>135498603</v>
      </c>
      <c r="C47" s="44">
        <f>+C97</f>
        <v>135498603</v>
      </c>
      <c r="D47" s="44"/>
      <c r="E47" s="44">
        <f>+E97</f>
        <v>156592964.976779</v>
      </c>
      <c r="F47" s="44">
        <f>+F97</f>
        <v>156592964.976779</v>
      </c>
      <c r="G47" s="72"/>
    </row>
    <row r="48" spans="1:7" ht="15">
      <c r="A48" s="3" t="s">
        <v>49</v>
      </c>
      <c r="B48" s="11">
        <f>+B46/B47</f>
        <v>0.00825819584280142</v>
      </c>
      <c r="C48" s="11">
        <f>+C46/C47</f>
        <v>0.00825819584280142</v>
      </c>
      <c r="D48" s="11"/>
      <c r="E48" s="11">
        <f>+E46/E47</f>
        <v>0.00662872223529004</v>
      </c>
      <c r="F48" s="11">
        <f>+F46/F47</f>
        <v>0.00662872223529004</v>
      </c>
      <c r="G48" s="72"/>
    </row>
    <row r="49" spans="1:7" ht="15">
      <c r="A49" s="3" t="s">
        <v>50</v>
      </c>
      <c r="B49" s="44">
        <f>+B93</f>
        <v>93031576</v>
      </c>
      <c r="C49" s="44">
        <f>+B93</f>
        <v>93031576</v>
      </c>
      <c r="D49" s="44"/>
      <c r="E49" s="44">
        <f>+E93</f>
        <v>103261735.25</v>
      </c>
      <c r="F49" s="44">
        <f>+F93</f>
        <v>103261735.25</v>
      </c>
      <c r="G49" s="72"/>
    </row>
    <row r="50" spans="1:7" ht="15">
      <c r="A50" s="3" t="s">
        <v>42</v>
      </c>
      <c r="B50" s="50">
        <f>+B48*B49</f>
        <v>768272.974172464</v>
      </c>
      <c r="C50" s="50">
        <f>+C48*C49</f>
        <v>768272.974172464</v>
      </c>
      <c r="D50" s="50"/>
      <c r="E50" s="50">
        <f>+E48*E49</f>
        <v>684493.360506308</v>
      </c>
      <c r="F50" s="50">
        <f>+F48*F49</f>
        <v>684493.360506308</v>
      </c>
      <c r="G50" s="72"/>
    </row>
    <row r="51" spans="1:7" ht="15">
      <c r="A51" s="3" t="s">
        <v>40</v>
      </c>
      <c r="B51" s="60">
        <f>+B91</f>
        <v>773791.84</v>
      </c>
      <c r="C51" s="60">
        <f>+C91</f>
        <v>773791.84</v>
      </c>
      <c r="D51" s="60"/>
      <c r="E51" s="60">
        <f>+E91</f>
        <v>619578.62</v>
      </c>
      <c r="F51" s="60">
        <f>+F91</f>
        <v>619578.62</v>
      </c>
      <c r="G51" s="80"/>
    </row>
    <row r="52" spans="1:9" ht="15">
      <c r="A52" s="22" t="s">
        <v>41</v>
      </c>
      <c r="B52" s="60">
        <f>+B92</f>
        <v>16546569.44</v>
      </c>
      <c r="C52" s="60">
        <f>+C92</f>
        <v>16546569.44</v>
      </c>
      <c r="D52" s="60"/>
      <c r="E52" s="60">
        <f>+E92</f>
        <v>16450212.43</v>
      </c>
      <c r="F52" s="60">
        <f>+F92</f>
        <v>16450212.43</v>
      </c>
      <c r="G52" s="80"/>
      <c r="H52" s="16"/>
      <c r="I52" s="16"/>
    </row>
    <row r="53" spans="1:7" ht="15">
      <c r="A53" s="3" t="s">
        <v>51</v>
      </c>
      <c r="B53" s="50">
        <f>+B52+B51+B50</f>
        <v>18088634.2541725</v>
      </c>
      <c r="C53" s="50">
        <f>+C52+C51+C50</f>
        <v>18088634.2541725</v>
      </c>
      <c r="D53" s="50"/>
      <c r="E53" s="50">
        <f>+E52+E51+E50</f>
        <v>17754284.4105063</v>
      </c>
      <c r="F53" s="50">
        <f>+F52+F51+F50</f>
        <v>17754284.4105063</v>
      </c>
      <c r="G53" s="81"/>
    </row>
    <row r="54" spans="1:7" ht="15">
      <c r="A54" s="4" t="s">
        <v>110</v>
      </c>
      <c r="B54" s="44">
        <f>+B74</f>
        <v>290296125.53</v>
      </c>
      <c r="C54" s="44">
        <f t="shared" si="3" ref="C54:F54">+C74</f>
        <v>290296125.53</v>
      </c>
      <c r="D54" s="44"/>
      <c r="E54" s="44">
        <f t="shared" si="3"/>
        <v>328470050.83</v>
      </c>
      <c r="F54" s="44">
        <f t="shared" si="3"/>
        <v>328470050.83</v>
      </c>
      <c r="G54" s="82"/>
    </row>
    <row r="55" spans="1:7" ht="15">
      <c r="A55" s="3" t="s">
        <v>52</v>
      </c>
      <c r="B55" s="11">
        <f>+B53/B54</f>
        <v>0.0623109737381016</v>
      </c>
      <c r="C55" s="11">
        <f>+C53/C54</f>
        <v>0.0623109737381016</v>
      </c>
      <c r="D55" s="11"/>
      <c r="E55" s="11">
        <f>+E53/E54</f>
        <v>0.0540514557282882</v>
      </c>
      <c r="F55" s="11">
        <f>+F53/F54</f>
        <v>0.0540514557282882</v>
      </c>
      <c r="G55" s="72"/>
    </row>
    <row r="56" spans="1:7" ht="15">
      <c r="A56" s="3"/>
      <c r="B56" s="6"/>
      <c r="C56" s="6"/>
      <c r="D56" s="6"/>
      <c r="G56" s="72"/>
    </row>
    <row r="57" spans="1:7" ht="15">
      <c r="A57" s="1" t="s">
        <v>2</v>
      </c>
      <c r="B57" s="8">
        <f>+B55+B43+B40+B29+B24</f>
        <v>0.137252761538985</v>
      </c>
      <c r="C57" s="8">
        <f t="shared" si="4" ref="C57:F57">+C55+C43+C40+C29+C24</f>
        <v>0.137252761538985</v>
      </c>
      <c r="D57" s="8"/>
      <c r="E57" s="8">
        <f t="shared" si="4"/>
        <v>0.127897978381373</v>
      </c>
      <c r="F57" s="8">
        <f t="shared" si="4"/>
        <v>0.127897978381373</v>
      </c>
      <c r="G57" s="72"/>
    </row>
    <row r="58" spans="2:7" ht="15">
      <c r="B58" s="16"/>
      <c r="C58" s="16"/>
      <c r="D58" s="16"/>
      <c r="G58" s="72"/>
    </row>
    <row r="59" spans="1:7" ht="15">
      <c r="A59" s="26" t="s">
        <v>53</v>
      </c>
      <c r="B59" s="4"/>
      <c r="C59" s="4"/>
      <c r="D59" s="4"/>
      <c r="G59" s="72"/>
    </row>
    <row r="60" spans="1:7" ht="15">
      <c r="A60" s="1" t="s">
        <v>54</v>
      </c>
      <c r="B60" s="28">
        <f>1/8.17</f>
        <v>0.122399020807834</v>
      </c>
      <c r="C60" s="35">
        <f>1/13.17</f>
        <v>0.0759301442672741</v>
      </c>
      <c r="D60" s="35"/>
      <c r="E60" s="29">
        <f>+B60</f>
        <v>0.122399020807834</v>
      </c>
      <c r="F60" s="29">
        <f>1/13.17</f>
        <v>0.0759301442672741</v>
      </c>
      <c r="G60" s="72"/>
    </row>
    <row r="61" spans="1:7" ht="15">
      <c r="A61" s="1"/>
      <c r="G61" s="72"/>
    </row>
    <row r="62" spans="1:7" ht="15">
      <c r="A62" s="26" t="s">
        <v>59</v>
      </c>
      <c r="G62" s="72"/>
    </row>
    <row r="63" spans="1:7" ht="15">
      <c r="A63" s="3" t="s">
        <v>3</v>
      </c>
      <c r="B63" s="6">
        <f>+B16</f>
        <v>400.302427345128</v>
      </c>
      <c r="C63" s="6">
        <f>+C16</f>
        <v>610.479779551854</v>
      </c>
      <c r="D63" s="6"/>
      <c r="E63" s="6">
        <f>+E16</f>
        <v>447.411504758003</v>
      </c>
      <c r="F63" s="6">
        <f>+F16</f>
        <v>690.967194174388</v>
      </c>
      <c r="G63" s="72"/>
    </row>
    <row r="64" spans="1:7" ht="15">
      <c r="A64" s="3" t="s">
        <v>4</v>
      </c>
      <c r="B64" s="8">
        <f t="shared" si="5" ref="B64:C64">B57</f>
        <v>0.137252761538985</v>
      </c>
      <c r="C64" s="8">
        <f t="shared" si="5"/>
        <v>0.137252761538985</v>
      </c>
      <c r="D64" s="8"/>
      <c r="E64" s="8">
        <f t="shared" si="6" ref="E64">E57</f>
        <v>0.127897978381373</v>
      </c>
      <c r="F64" s="8">
        <f t="shared" si="7" ref="F64">F57</f>
        <v>0.127897978381373</v>
      </c>
      <c r="G64" s="72"/>
    </row>
    <row r="65" spans="1:7" ht="15.75">
      <c r="A65" s="3" t="s">
        <v>10</v>
      </c>
      <c r="B65" s="8">
        <f>+B60</f>
        <v>0.122399020807834</v>
      </c>
      <c r="C65" s="8">
        <f>+C60</f>
        <v>0.0759301442672741</v>
      </c>
      <c r="D65" s="8"/>
      <c r="E65" s="8">
        <f>+E60</f>
        <v>0.122399020807834</v>
      </c>
      <c r="F65" s="8">
        <f>+F60</f>
        <v>0.0759301442672741</v>
      </c>
      <c r="G65" s="72"/>
    </row>
    <row r="66" spans="1:7" ht="15.75">
      <c r="A66" s="1" t="s">
        <v>58</v>
      </c>
      <c r="B66" s="65">
        <f>+B65*B64*B63</f>
        <v>6.72492210573781</v>
      </c>
      <c r="C66" s="65">
        <f>+C65*C64*C63</f>
        <v>6.36218949181496</v>
      </c>
      <c r="D66" s="30"/>
      <c r="E66" s="65">
        <f t="shared" si="8" ref="E66:F66">+E65*E64*E63</f>
        <v>7.00404246794574</v>
      </c>
      <c r="F66" s="65">
        <f t="shared" si="8"/>
        <v>6.71019796983704</v>
      </c>
      <c r="G66" s="72"/>
    </row>
    <row r="67" spans="1:7" ht="15.75">
      <c r="A67" s="69" t="s">
        <v>60</v>
      </c>
      <c r="B67" s="90">
        <f>+B69*B66+C69*C66</f>
        <v>6.54355579877638</v>
      </c>
      <c r="C67" s="91"/>
      <c r="D67" s="70"/>
      <c r="E67" s="90">
        <f>+E69*E66+F69*F66</f>
        <v>6.85712021889139</v>
      </c>
      <c r="F67" s="91"/>
      <c r="G67" s="72"/>
    </row>
    <row r="68" spans="1:7" ht="15">
      <c r="A68" s="62" t="s">
        <v>55</v>
      </c>
      <c r="B68" s="66">
        <f>+B105</f>
        <v>147879</v>
      </c>
      <c r="C68" s="66">
        <f>+C105</f>
        <v>147879</v>
      </c>
      <c r="D68" s="67"/>
      <c r="E68" s="66">
        <f>+E105</f>
        <v>148681</v>
      </c>
      <c r="F68" s="68">
        <f>+F105</f>
        <v>148681</v>
      </c>
      <c r="G68" s="72"/>
    </row>
    <row r="69" spans="1:7" ht="15">
      <c r="A69" s="62" t="s">
        <v>57</v>
      </c>
      <c r="B69" s="63">
        <f>+B68/(B68+C68)</f>
        <v>0.5</v>
      </c>
      <c r="C69" s="63">
        <f>+C68/(C68+B68)</f>
        <v>0.5</v>
      </c>
      <c r="D69" s="63"/>
      <c r="E69" s="63">
        <f>+E68/(E68+F68)</f>
        <v>0.5</v>
      </c>
      <c r="F69" s="64">
        <f>+F68/(F68+E68)</f>
        <v>0.5</v>
      </c>
      <c r="G69" s="72"/>
    </row>
    <row r="70" ht="15">
      <c r="G70" s="72"/>
    </row>
    <row r="71" spans="1:7" ht="15">
      <c r="A71" s="9"/>
      <c r="B71" s="32"/>
      <c r="C71" s="51"/>
      <c r="D71" s="51"/>
      <c r="G71" s="72"/>
    </row>
    <row r="72" spans="1:7" ht="15">
      <c r="A72" s="10"/>
      <c r="B72" s="32"/>
      <c r="C72" s="51"/>
      <c r="D72" s="51"/>
      <c r="G72" s="72"/>
    </row>
    <row r="73" spans="1:7" ht="15">
      <c r="A73" s="1" t="s">
        <v>5</v>
      </c>
      <c r="G73" s="72"/>
    </row>
    <row r="74" spans="1:7" ht="15">
      <c r="A74" s="3" t="s">
        <v>6</v>
      </c>
      <c r="B74" s="39">
        <v>290296125.53</v>
      </c>
      <c r="C74" s="39">
        <v>290296125.53</v>
      </c>
      <c r="E74" s="39">
        <v>328470050.83</v>
      </c>
      <c r="F74" s="39">
        <v>328470050.83</v>
      </c>
      <c r="G74" s="86" t="s">
        <v>71</v>
      </c>
    </row>
    <row r="75" spans="1:7" ht="15">
      <c r="A75" s="3" t="s">
        <v>7</v>
      </c>
      <c r="B75" s="88">
        <v>283505699.61</v>
      </c>
      <c r="C75" s="88">
        <v>283505699.61</v>
      </c>
      <c r="D75" s="39"/>
      <c r="E75" s="89">
        <v>322953405.89</v>
      </c>
      <c r="F75" s="89">
        <v>322953405.89</v>
      </c>
      <c r="G75" s="87" t="s">
        <v>88</v>
      </c>
    </row>
    <row r="76" spans="1:7" ht="15">
      <c r="A76" s="3" t="s">
        <v>8</v>
      </c>
      <c r="B76" s="88">
        <v>89683318</v>
      </c>
      <c r="C76" s="88">
        <v>89683318</v>
      </c>
      <c r="D76" s="39"/>
      <c r="E76" s="89">
        <v>94810427.51</v>
      </c>
      <c r="F76" s="89">
        <v>94810427.51</v>
      </c>
      <c r="G76" s="87" t="s">
        <v>88</v>
      </c>
    </row>
    <row r="77" spans="1:7" ht="15">
      <c r="A77" s="3" t="s">
        <v>11</v>
      </c>
      <c r="B77" s="88">
        <f>SUM(B74:B76)</f>
        <v>663485143.14</v>
      </c>
      <c r="C77" s="88">
        <f>SUM(C74:C76)</f>
        <v>663485143.14</v>
      </c>
      <c r="D77" s="39"/>
      <c r="E77" s="89">
        <f>SUM(E74:E76)</f>
        <v>746233884.23</v>
      </c>
      <c r="F77" s="89">
        <f>SUM(F74:F76)</f>
        <v>746233884.23</v>
      </c>
      <c r="G77" s="87" t="s">
        <v>94</v>
      </c>
    </row>
    <row r="78" spans="1:7" ht="15">
      <c r="A78" s="3"/>
      <c r="E78" s="16"/>
      <c r="F78" s="16"/>
      <c r="G78" s="87"/>
    </row>
    <row r="79" spans="1:7" ht="15">
      <c r="A79" s="3" t="s">
        <v>66</v>
      </c>
      <c r="B79" s="14">
        <v>134203355.02</v>
      </c>
      <c r="C79" s="14">
        <v>134203355.02</v>
      </c>
      <c r="E79" s="50">
        <v>147120172.47</v>
      </c>
      <c r="F79" s="50">
        <v>147120172.47</v>
      </c>
      <c r="G79" s="72" t="s">
        <v>77</v>
      </c>
    </row>
    <row r="80" spans="2:7" ht="15">
      <c r="B80" s="15"/>
      <c r="C80" s="15"/>
      <c r="E80" s="15"/>
      <c r="F80" s="15"/>
      <c r="G80" s="76"/>
    </row>
    <row r="81" spans="1:7" ht="15">
      <c r="A81" s="3" t="s">
        <v>67</v>
      </c>
      <c r="B81" s="14">
        <v>6837808460.84</v>
      </c>
      <c r="C81" s="14">
        <v>6837808460.84</v>
      </c>
      <c r="E81" s="50">
        <v>8555402692.5</v>
      </c>
      <c r="F81" s="50">
        <v>8555402692.5</v>
      </c>
      <c r="G81" s="72" t="s">
        <v>82</v>
      </c>
    </row>
    <row r="82" spans="1:7" ht="15">
      <c r="A82" s="3" t="s">
        <v>89</v>
      </c>
      <c r="B82" s="14">
        <v>2419286203.27</v>
      </c>
      <c r="C82" s="14">
        <v>2419286203.27</v>
      </c>
      <c r="E82" s="50">
        <v>2772420174.9</v>
      </c>
      <c r="F82" s="50">
        <v>2772420174.9</v>
      </c>
      <c r="G82" s="72" t="s">
        <v>81</v>
      </c>
    </row>
    <row r="83" spans="5:7" ht="15">
      <c r="E83" s="16"/>
      <c r="F83" s="16"/>
      <c r="G83" s="76"/>
    </row>
    <row r="84" spans="1:7" ht="15">
      <c r="A84" s="3" t="s">
        <v>9</v>
      </c>
      <c r="B84" s="15">
        <v>0.0762</v>
      </c>
      <c r="C84" s="15">
        <v>0.0762</v>
      </c>
      <c r="D84" s="16"/>
      <c r="E84" s="34">
        <v>0.0723</v>
      </c>
      <c r="F84" s="34">
        <v>0.0723</v>
      </c>
      <c r="G84" s="76" t="s">
        <v>95</v>
      </c>
    </row>
    <row r="85" spans="1:7" ht="15">
      <c r="A85" s="22" t="s">
        <v>31</v>
      </c>
      <c r="B85" s="15">
        <v>0.11</v>
      </c>
      <c r="C85" s="15">
        <v>0.11</v>
      </c>
      <c r="D85" s="16"/>
      <c r="E85" s="34">
        <v>0.105</v>
      </c>
      <c r="F85" s="34">
        <v>0.105</v>
      </c>
      <c r="G85" s="76" t="s">
        <v>95</v>
      </c>
    </row>
    <row r="86" spans="1:7" ht="15">
      <c r="A86" s="22" t="s">
        <v>32</v>
      </c>
      <c r="B86" s="15">
        <v>0.537</v>
      </c>
      <c r="C86" s="15">
        <v>0.537</v>
      </c>
      <c r="D86" s="16"/>
      <c r="E86" s="34">
        <v>0.5356</v>
      </c>
      <c r="F86" s="34">
        <v>0.5356</v>
      </c>
      <c r="G86" s="76" t="s">
        <v>95</v>
      </c>
    </row>
    <row r="87" spans="1:9" ht="15">
      <c r="A87" s="22" t="s">
        <v>37</v>
      </c>
      <c r="B87" s="15">
        <v>0.3675</v>
      </c>
      <c r="C87" s="15">
        <v>0.3675</v>
      </c>
      <c r="D87" s="16"/>
      <c r="E87" s="34">
        <v>0.368644</v>
      </c>
      <c r="F87" s="34">
        <v>0.368644</v>
      </c>
      <c r="G87" s="76" t="s">
        <v>85</v>
      </c>
      <c r="H87" s="16"/>
      <c r="I87" s="16"/>
    </row>
    <row r="88" spans="1:7" ht="15">
      <c r="A88" s="22"/>
      <c r="E88" s="16"/>
      <c r="F88" s="16"/>
      <c r="G88" s="76"/>
    </row>
    <row r="89" spans="1:7" ht="15">
      <c r="A89" s="3" t="s">
        <v>12</v>
      </c>
      <c r="B89" s="40">
        <v>0.15</v>
      </c>
      <c r="C89" s="40">
        <v>0.15</v>
      </c>
      <c r="E89" s="40">
        <v>0.15</v>
      </c>
      <c r="F89" s="40">
        <v>0.15</v>
      </c>
      <c r="G89" s="83" t="s">
        <v>90</v>
      </c>
    </row>
    <row r="90" spans="1:7" ht="15">
      <c r="A90" s="3"/>
      <c r="B90" s="31"/>
      <c r="C90" s="31"/>
      <c r="E90" s="16"/>
      <c r="F90" s="16"/>
      <c r="G90" s="72"/>
    </row>
    <row r="91" spans="1:7" ht="15">
      <c r="A91" s="3" t="s">
        <v>92</v>
      </c>
      <c r="B91" s="39">
        <v>773791.84</v>
      </c>
      <c r="C91" s="39">
        <v>773791.84</v>
      </c>
      <c r="E91" s="50">
        <v>619578.62</v>
      </c>
      <c r="F91" s="50">
        <v>619578.62</v>
      </c>
      <c r="G91" s="76" t="s">
        <v>80</v>
      </c>
    </row>
    <row r="92" spans="1:7" ht="15">
      <c r="A92" s="3" t="s">
        <v>93</v>
      </c>
      <c r="B92" s="39">
        <v>16546569.44</v>
      </c>
      <c r="C92" s="39">
        <v>16546569.44</v>
      </c>
      <c r="E92" s="50">
        <v>16450212.43</v>
      </c>
      <c r="F92" s="50">
        <v>16450212.43</v>
      </c>
      <c r="G92" s="76" t="s">
        <v>80</v>
      </c>
    </row>
    <row r="93" spans="1:10" ht="15">
      <c r="A93" s="3" t="s">
        <v>43</v>
      </c>
      <c r="B93" s="39">
        <f>+'A&amp;G Detail'!B3</f>
        <v>93031576</v>
      </c>
      <c r="C93" s="39">
        <f>+B93</f>
        <v>93031576</v>
      </c>
      <c r="D93" s="16"/>
      <c r="E93" s="50">
        <f>+'A&amp;G Detail'!D20</f>
        <v>103261735.25</v>
      </c>
      <c r="F93" s="50">
        <f>+E93</f>
        <v>103261735.25</v>
      </c>
      <c r="G93" s="76" t="s">
        <v>103</v>
      </c>
      <c r="H93" s="16"/>
      <c r="I93" s="16"/>
      <c r="J93" s="16"/>
    </row>
    <row r="94" spans="1:15" ht="15">
      <c r="A94" s="3" t="s">
        <v>44</v>
      </c>
      <c r="B94" s="39">
        <v>384792</v>
      </c>
      <c r="C94" s="39">
        <v>384792</v>
      </c>
      <c r="D94" s="16"/>
      <c r="E94" s="50">
        <f>B94*E91/B91</f>
        <v>308104.691756687</v>
      </c>
      <c r="F94" s="50">
        <f>C94*F91/C91</f>
        <v>308104.691756687</v>
      </c>
      <c r="G94" s="76" t="s">
        <v>107</v>
      </c>
      <c r="H94" s="71"/>
      <c r="I94" s="71"/>
      <c r="J94" s="71"/>
      <c r="K94" s="71"/>
      <c r="L94" s="71"/>
      <c r="M94" s="71"/>
      <c r="N94" s="71"/>
      <c r="O94" s="16"/>
    </row>
    <row r="95" spans="1:15" ht="15">
      <c r="A95" s="3" t="s">
        <v>45</v>
      </c>
      <c r="B95" s="39">
        <v>734182</v>
      </c>
      <c r="C95" s="39">
        <v>734182</v>
      </c>
      <c r="D95" s="16"/>
      <c r="E95" s="50">
        <f>B95*E92/B92</f>
        <v>729906.577074883</v>
      </c>
      <c r="F95" s="50">
        <f>C95*F92/C92</f>
        <v>729906.577074883</v>
      </c>
      <c r="G95" s="76" t="s">
        <v>107</v>
      </c>
      <c r="H95" s="71"/>
      <c r="I95" s="71"/>
      <c r="J95" s="71"/>
      <c r="K95" s="71"/>
      <c r="L95" s="71"/>
      <c r="M95" s="71"/>
      <c r="N95" s="71"/>
      <c r="O95" s="16"/>
    </row>
    <row r="96" spans="1:10" ht="15">
      <c r="A96" s="3" t="s">
        <v>46</v>
      </c>
      <c r="B96" s="39">
        <f>+B95+B94</f>
        <v>1118974</v>
      </c>
      <c r="C96" s="39">
        <f>+C95+C94</f>
        <v>1118974</v>
      </c>
      <c r="D96" s="16"/>
      <c r="E96" s="50">
        <f>+E95+E94</f>
        <v>1038011.26883157</v>
      </c>
      <c r="F96" s="50">
        <f>+F95+F94</f>
        <v>1038011.26883157</v>
      </c>
      <c r="G96" s="76"/>
      <c r="H96" s="16"/>
      <c r="I96" s="16"/>
      <c r="J96" s="16"/>
    </row>
    <row r="97" spans="1:10" ht="15">
      <c r="A97" s="3" t="s">
        <v>109</v>
      </c>
      <c r="B97" s="39">
        <v>135498603</v>
      </c>
      <c r="C97" s="39">
        <v>135498603</v>
      </c>
      <c r="D97" s="16"/>
      <c r="E97" s="50">
        <f>+B97*(E100/B100)</f>
        <v>156592964.976779</v>
      </c>
      <c r="F97" s="50">
        <f>+C97*F100/C100</f>
        <v>156592964.976779</v>
      </c>
      <c r="G97" s="76" t="s">
        <v>108</v>
      </c>
      <c r="H97" s="85"/>
      <c r="I97" s="16"/>
      <c r="J97" s="16"/>
    </row>
    <row r="98" spans="1:8" ht="15">
      <c r="A98" s="3" t="s">
        <v>61</v>
      </c>
      <c r="B98" s="36">
        <f>+B96/B97</f>
        <v>0.00825819584280142</v>
      </c>
      <c r="C98" s="36">
        <f>+C96/C97</f>
        <v>0.00825819584280142</v>
      </c>
      <c r="D98" s="16"/>
      <c r="E98" s="36">
        <f>+E96/E97</f>
        <v>0.00662872223529004</v>
      </c>
      <c r="F98" s="36">
        <f>+F96/F97</f>
        <v>0.00662872223529004</v>
      </c>
      <c r="G98" s="76" t="s">
        <v>96</v>
      </c>
      <c r="H98" s="16"/>
    </row>
    <row r="99" spans="1:8" ht="15">
      <c r="A99" s="3" t="s">
        <v>42</v>
      </c>
      <c r="B99" s="39">
        <f>+B96/B97*B93</f>
        <v>768272.974172464</v>
      </c>
      <c r="C99" s="39">
        <f>+C96/C97*C93</f>
        <v>768272.974172464</v>
      </c>
      <c r="D99" s="16"/>
      <c r="E99" s="50">
        <f>+E96/E97*E93</f>
        <v>684493.360506308</v>
      </c>
      <c r="F99" s="50">
        <f>+F96/F97*F93</f>
        <v>684493.360506308</v>
      </c>
      <c r="G99" s="76" t="s">
        <v>96</v>
      </c>
      <c r="H99" s="16"/>
    </row>
    <row r="100" spans="1:8" ht="15">
      <c r="A100" s="3" t="s">
        <v>104</v>
      </c>
      <c r="B100" s="39">
        <v>110605848</v>
      </c>
      <c r="C100" s="39">
        <f>+B100</f>
        <v>110605848</v>
      </c>
      <c r="D100" s="16"/>
      <c r="E100" s="50">
        <v>127824917</v>
      </c>
      <c r="F100" s="50">
        <f>+E100</f>
        <v>127824917</v>
      </c>
      <c r="G100" s="76" t="s">
        <v>106</v>
      </c>
      <c r="H100" s="16"/>
    </row>
    <row r="101" spans="1:8" ht="15">
      <c r="A101" s="3" t="s">
        <v>105</v>
      </c>
      <c r="B101" s="39">
        <f>+B96/B100*B93</f>
        <v>941179.120321233</v>
      </c>
      <c r="C101" s="39">
        <f>+C96/C100*C93</f>
        <v>941179.120321233</v>
      </c>
      <c r="E101" s="39">
        <f>+E96/E100*E93</f>
        <v>838544.21613747</v>
      </c>
      <c r="F101" s="39">
        <f>+F96/F100*F93</f>
        <v>838544.21613747</v>
      </c>
      <c r="G101" s="76" t="s">
        <v>96</v>
      </c>
      <c r="H101" s="16"/>
    </row>
    <row r="102" spans="1:8" ht="15">
      <c r="A102" s="3"/>
      <c r="E102" s="16"/>
      <c r="F102" s="16"/>
      <c r="G102" s="76"/>
      <c r="H102" s="16"/>
    </row>
    <row r="103" spans="1:8" ht="15">
      <c r="A103" s="3" t="s">
        <v>38</v>
      </c>
      <c r="B103" s="15">
        <v>0.0022</v>
      </c>
      <c r="C103" s="15">
        <v>0.0022</v>
      </c>
      <c r="E103" s="34">
        <v>0.0022</v>
      </c>
      <c r="F103" s="34">
        <v>0.0022</v>
      </c>
      <c r="G103" s="72" t="s">
        <v>69</v>
      </c>
      <c r="H103" s="16"/>
    </row>
    <row r="104" spans="7:8" ht="15">
      <c r="G104" s="76"/>
      <c r="H104" s="16"/>
    </row>
    <row r="105" spans="1:8" ht="15">
      <c r="A105" s="3" t="s">
        <v>55</v>
      </c>
      <c r="B105" s="27">
        <v>147879</v>
      </c>
      <c r="C105" s="27">
        <v>147879</v>
      </c>
      <c r="E105" s="27">
        <v>148681</v>
      </c>
      <c r="F105" s="27">
        <v>148681</v>
      </c>
      <c r="G105" s="76" t="s">
        <v>78</v>
      </c>
      <c r="H105" s="16"/>
    </row>
    <row r="106" spans="1:8" ht="15">
      <c r="A106" s="3"/>
      <c r="B106" s="27"/>
      <c r="C106" s="27"/>
      <c r="E106" s="16"/>
      <c r="F106" s="16"/>
      <c r="G106" s="76"/>
      <c r="H106" s="16"/>
    </row>
    <row r="107" spans="1:8" ht="15">
      <c r="A107" s="3" t="s">
        <v>19</v>
      </c>
      <c r="E107" s="16"/>
      <c r="F107" s="16"/>
      <c r="G107" s="76"/>
      <c r="H107" s="16"/>
    </row>
    <row r="108" spans="1:7" ht="15">
      <c r="A108" s="5" t="s">
        <v>16</v>
      </c>
      <c r="B108" s="39">
        <v>19574073.56</v>
      </c>
      <c r="C108" s="39">
        <v>19574073.56</v>
      </c>
      <c r="E108" s="50">
        <v>23026482.34</v>
      </c>
      <c r="F108" s="50">
        <v>23026482.34</v>
      </c>
      <c r="G108" s="72" t="s">
        <v>72</v>
      </c>
    </row>
    <row r="109" spans="1:7" ht="15">
      <c r="A109" s="5" t="s">
        <v>17</v>
      </c>
      <c r="B109" s="39">
        <v>88285296.24</v>
      </c>
      <c r="C109" s="39">
        <v>88285296.24</v>
      </c>
      <c r="E109" s="50">
        <v>97115086.75</v>
      </c>
      <c r="F109" s="50">
        <v>97115086.75</v>
      </c>
      <c r="G109" s="72" t="s">
        <v>73</v>
      </c>
    </row>
    <row r="110" spans="1:7" ht="15">
      <c r="A110" s="3" t="s">
        <v>18</v>
      </c>
      <c r="B110" s="21">
        <v>60919552.94</v>
      </c>
      <c r="C110" s="21">
        <v>60919552.94</v>
      </c>
      <c r="E110" s="50">
        <v>73792803.57</v>
      </c>
      <c r="F110" s="50">
        <v>73792803.57</v>
      </c>
      <c r="G110" s="72" t="s">
        <v>76</v>
      </c>
    </row>
    <row r="111" spans="1:7" ht="15">
      <c r="A111" s="3"/>
      <c r="B111" s="39"/>
      <c r="C111" s="39"/>
      <c r="E111" s="16"/>
      <c r="F111" s="16"/>
      <c r="G111" s="72"/>
    </row>
    <row r="112" spans="1:7" ht="15">
      <c r="A112" s="3" t="s">
        <v>56</v>
      </c>
      <c r="E112" s="16"/>
      <c r="F112" s="16"/>
      <c r="G112" s="72"/>
    </row>
    <row r="113" spans="1:7" ht="15">
      <c r="A113" s="5" t="s">
        <v>16</v>
      </c>
      <c r="B113" s="27">
        <v>87560</v>
      </c>
      <c r="C113" s="27">
        <v>87560</v>
      </c>
      <c r="E113" s="21">
        <v>87362</v>
      </c>
      <c r="F113" s="21">
        <v>87362</v>
      </c>
      <c r="G113" s="72" t="s">
        <v>68</v>
      </c>
    </row>
    <row r="114" spans="1:7" ht="15">
      <c r="A114" s="5" t="s">
        <v>17</v>
      </c>
      <c r="B114" s="27">
        <v>141468</v>
      </c>
      <c r="C114" s="27">
        <v>141468</v>
      </c>
      <c r="D114" s="49"/>
      <c r="E114" s="21">
        <v>140885</v>
      </c>
      <c r="F114" s="21">
        <v>140885</v>
      </c>
      <c r="G114" s="78" t="s">
        <v>74</v>
      </c>
    </row>
    <row r="115" spans="1:7" ht="17.25">
      <c r="A115" s="3" t="s">
        <v>18</v>
      </c>
      <c r="B115" s="73">
        <v>66277</v>
      </c>
      <c r="C115" s="73">
        <v>66277</v>
      </c>
      <c r="D115" s="16"/>
      <c r="E115" s="74">
        <v>69359</v>
      </c>
      <c r="F115" s="74">
        <v>69359</v>
      </c>
      <c r="G115" s="76" t="s">
        <v>75</v>
      </c>
    </row>
    <row r="116" spans="1:7" ht="15">
      <c r="A116" s="3" t="s">
        <v>65</v>
      </c>
      <c r="B116" s="27">
        <f>SUM(B113:B115)</f>
        <v>295305</v>
      </c>
      <c r="C116" s="27">
        <f>SUM(C113:C115)</f>
        <v>295305</v>
      </c>
      <c r="D116" s="16"/>
      <c r="E116" s="27">
        <f>SUM(E113:E115)</f>
        <v>297606</v>
      </c>
      <c r="F116" s="27">
        <f>SUM(F113:F115)</f>
        <v>297606</v>
      </c>
      <c r="G116" s="76" t="s">
        <v>96</v>
      </c>
    </row>
    <row r="117" spans="4:7" ht="15">
      <c r="D117" s="16"/>
      <c r="E117" s="16"/>
      <c r="G117" s="76"/>
    </row>
    <row r="118" spans="1:7" ht="15">
      <c r="A118" t="s">
        <v>64</v>
      </c>
      <c r="B118" s="21">
        <v>409566</v>
      </c>
      <c r="C118" s="21">
        <v>409566</v>
      </c>
      <c r="D118" s="49"/>
      <c r="E118" s="21">
        <v>411325</v>
      </c>
      <c r="F118" s="21">
        <v>411325</v>
      </c>
      <c r="G118" s="78" t="s">
        <v>70</v>
      </c>
    </row>
    <row r="119" spans="2:7" ht="15">
      <c r="B119" s="16"/>
      <c r="C119" s="49"/>
      <c r="D119" s="49"/>
      <c r="E119" s="16"/>
      <c r="G119" s="72"/>
    </row>
    <row r="120" spans="2:7" ht="15">
      <c r="B120" s="16"/>
      <c r="C120" s="16"/>
      <c r="D120" s="16"/>
      <c r="E120" s="16"/>
      <c r="G120" s="72"/>
    </row>
    <row r="121" spans="2:7" ht="15">
      <c r="B121" s="16"/>
      <c r="C121" s="16"/>
      <c r="D121" s="16"/>
      <c r="E121" s="16"/>
      <c r="G121" s="72"/>
    </row>
    <row r="122" spans="2:7" ht="15">
      <c r="B122" s="16"/>
      <c r="C122" s="16"/>
      <c r="D122" s="16"/>
      <c r="E122" s="16"/>
      <c r="G122" s="72"/>
    </row>
    <row r="123" spans="2:7" ht="15">
      <c r="B123" s="16"/>
      <c r="C123" s="16"/>
      <c r="D123" s="16"/>
      <c r="E123" s="16"/>
      <c r="G123" s="72"/>
    </row>
    <row r="124" spans="2:7" ht="15">
      <c r="B124" s="16"/>
      <c r="C124" s="16"/>
      <c r="D124" s="16"/>
      <c r="E124" s="16"/>
      <c r="G124" s="72"/>
    </row>
    <row r="125" spans="2:7" ht="15">
      <c r="B125" s="16"/>
      <c r="C125" s="16"/>
      <c r="D125" s="16"/>
      <c r="E125" s="16"/>
      <c r="G125" s="72"/>
    </row>
    <row r="126" spans="2:7" ht="15">
      <c r="B126" s="16"/>
      <c r="C126" s="16"/>
      <c r="D126" s="16"/>
      <c r="E126" s="16"/>
      <c r="G126" s="72"/>
    </row>
    <row r="127" spans="2:7" ht="15">
      <c r="B127" s="16"/>
      <c r="C127" s="16"/>
      <c r="D127" s="16"/>
      <c r="E127" s="16"/>
      <c r="G127" s="72"/>
    </row>
    <row r="128" spans="2:7" ht="15">
      <c r="B128" s="16"/>
      <c r="C128" s="16"/>
      <c r="D128" s="16"/>
      <c r="E128" s="16"/>
      <c r="G128" s="72"/>
    </row>
    <row r="129" spans="2:7" ht="15">
      <c r="B129" s="16"/>
      <c r="C129" s="16"/>
      <c r="D129" s="16"/>
      <c r="E129" s="16"/>
      <c r="G129" s="72"/>
    </row>
    <row r="130" spans="2:7" ht="15">
      <c r="B130" s="16"/>
      <c r="C130" s="16"/>
      <c r="D130" s="16"/>
      <c r="E130" s="16"/>
      <c r="G130" s="72"/>
    </row>
    <row r="131" spans="2:7" ht="15">
      <c r="B131" s="16"/>
      <c r="C131" s="16"/>
      <c r="D131" s="16"/>
      <c r="E131" s="16"/>
      <c r="G131" s="72"/>
    </row>
    <row r="132" spans="2:7" ht="15">
      <c r="B132" s="16"/>
      <c r="C132" s="16"/>
      <c r="D132" s="16"/>
      <c r="E132" s="16"/>
      <c r="G132" s="72"/>
    </row>
    <row r="133" spans="2:7" ht="15">
      <c r="B133" s="16"/>
      <c r="C133" s="16"/>
      <c r="D133" s="16"/>
      <c r="E133" s="16"/>
      <c r="G133" s="72"/>
    </row>
    <row r="134" spans="2:7" ht="15">
      <c r="B134" s="16"/>
      <c r="C134" s="16"/>
      <c r="D134" s="16"/>
      <c r="E134" s="16"/>
      <c r="G134" s="72"/>
    </row>
    <row r="135" spans="2:7" ht="15">
      <c r="B135" s="16"/>
      <c r="C135" s="16"/>
      <c r="D135" s="16"/>
      <c r="E135" s="16"/>
      <c r="G135" s="72"/>
    </row>
    <row r="136" spans="2:7" ht="15">
      <c r="B136" s="16"/>
      <c r="C136" s="16"/>
      <c r="D136" s="16"/>
      <c r="E136" s="16"/>
      <c r="G136" s="72"/>
    </row>
    <row r="137" spans="2:7" ht="15">
      <c r="B137" s="16"/>
      <c r="C137" s="16"/>
      <c r="D137" s="16"/>
      <c r="E137" s="16"/>
      <c r="G137" s="72"/>
    </row>
    <row r="138" spans="2:7" ht="15">
      <c r="B138" s="16"/>
      <c r="C138" s="16"/>
      <c r="D138" s="16"/>
      <c r="E138" s="16"/>
      <c r="G138" s="72"/>
    </row>
    <row r="139" spans="2:7" ht="15">
      <c r="B139" s="16"/>
      <c r="C139" s="16"/>
      <c r="D139" s="16"/>
      <c r="E139" s="16"/>
      <c r="G139" s="72"/>
    </row>
    <row r="140" spans="2:7" ht="15">
      <c r="B140" s="16"/>
      <c r="C140" s="16"/>
      <c r="D140" s="16"/>
      <c r="E140" s="16"/>
      <c r="G140" s="72"/>
    </row>
    <row r="141" spans="2:7" ht="15">
      <c r="B141" s="16"/>
      <c r="C141" s="16"/>
      <c r="D141" s="16"/>
      <c r="E141" s="16"/>
      <c r="G141" s="72"/>
    </row>
    <row r="142" spans="2:7" ht="15">
      <c r="B142" s="16"/>
      <c r="C142" s="16"/>
      <c r="D142" s="16"/>
      <c r="E142" s="16"/>
      <c r="G142" s="72"/>
    </row>
    <row r="143" spans="2:7" ht="15">
      <c r="B143" s="16"/>
      <c r="C143" s="16"/>
      <c r="D143" s="16"/>
      <c r="E143" s="16"/>
      <c r="G143" s="72"/>
    </row>
    <row r="144" spans="2:7" ht="15">
      <c r="B144" s="16"/>
      <c r="C144" s="16"/>
      <c r="D144" s="16"/>
      <c r="E144" s="16"/>
      <c r="G144" s="72"/>
    </row>
    <row r="145" spans="2:7" ht="15">
      <c r="B145" s="16"/>
      <c r="C145" s="16"/>
      <c r="D145" s="16"/>
      <c r="E145" s="16"/>
      <c r="G145" s="72"/>
    </row>
    <row r="146" spans="2:7" ht="15">
      <c r="B146" s="16"/>
      <c r="C146" s="16"/>
      <c r="D146" s="16"/>
      <c r="E146" s="16"/>
      <c r="G146" s="72"/>
    </row>
    <row r="147" spans="2:7" ht="15">
      <c r="B147" s="16"/>
      <c r="C147" s="16"/>
      <c r="D147" s="16"/>
      <c r="E147" s="16"/>
      <c r="G147" s="72"/>
    </row>
    <row r="148" spans="2:7" ht="15">
      <c r="B148" s="16"/>
      <c r="C148" s="16"/>
      <c r="D148" s="16"/>
      <c r="E148" s="16"/>
      <c r="G148" s="72"/>
    </row>
    <row r="149" spans="2:7" ht="15">
      <c r="B149" s="16"/>
      <c r="C149" s="16"/>
      <c r="D149" s="16"/>
      <c r="E149" s="16"/>
      <c r="G149" s="72"/>
    </row>
    <row r="150" spans="2:7" ht="15">
      <c r="B150" s="16"/>
      <c r="C150" s="16"/>
      <c r="D150" s="16"/>
      <c r="E150" s="16"/>
      <c r="G150" s="72"/>
    </row>
    <row r="151" spans="2:7" ht="15">
      <c r="B151" s="16"/>
      <c r="C151" s="16"/>
      <c r="D151" s="16"/>
      <c r="E151" s="16"/>
      <c r="G151" s="72"/>
    </row>
    <row r="152" spans="2:7" ht="15">
      <c r="B152" s="16"/>
      <c r="C152" s="16"/>
      <c r="D152" s="16"/>
      <c r="E152" s="16"/>
      <c r="G152" s="72"/>
    </row>
    <row r="153" spans="2:7" ht="15">
      <c r="B153" s="16"/>
      <c r="C153" s="16"/>
      <c r="D153" s="16"/>
      <c r="E153" s="16"/>
      <c r="G153" s="72"/>
    </row>
    <row r="154" spans="2:7" ht="15">
      <c r="B154" s="16"/>
      <c r="C154" s="16"/>
      <c r="D154" s="16"/>
      <c r="E154" s="16"/>
      <c r="G154" s="72"/>
    </row>
    <row r="155" spans="2:7" ht="15">
      <c r="B155" s="16"/>
      <c r="C155" s="16"/>
      <c r="D155" s="16"/>
      <c r="E155" s="16"/>
      <c r="G155" s="72"/>
    </row>
    <row r="156" spans="2:7" ht="15">
      <c r="B156" s="16"/>
      <c r="C156" s="16"/>
      <c r="D156" s="16"/>
      <c r="E156" s="16"/>
      <c r="G156" s="72"/>
    </row>
    <row r="157" spans="2:7" ht="15">
      <c r="B157" s="16"/>
      <c r="C157" s="16"/>
      <c r="D157" s="16"/>
      <c r="E157" s="16"/>
      <c r="G157" s="72"/>
    </row>
    <row r="158" spans="2:7" ht="15">
      <c r="B158" s="16"/>
      <c r="C158" s="16"/>
      <c r="D158" s="16"/>
      <c r="E158" s="16"/>
      <c r="G158" s="72"/>
    </row>
    <row r="159" spans="2:7" ht="15">
      <c r="B159" s="16"/>
      <c r="C159" s="16"/>
      <c r="D159" s="16"/>
      <c r="E159" s="16"/>
      <c r="G159" s="72"/>
    </row>
    <row r="160" spans="2:7" ht="15">
      <c r="B160" s="16"/>
      <c r="C160" s="16"/>
      <c r="D160" s="16"/>
      <c r="E160" s="16"/>
      <c r="G160" s="72"/>
    </row>
    <row r="161" spans="2:7" ht="15">
      <c r="B161" s="16"/>
      <c r="C161" s="16"/>
      <c r="D161" s="16"/>
      <c r="E161" s="16"/>
      <c r="G161" s="72"/>
    </row>
    <row r="162" spans="2:7" ht="15">
      <c r="B162" s="16"/>
      <c r="C162" s="16"/>
      <c r="D162" s="16"/>
      <c r="E162" s="16"/>
      <c r="G162" s="72"/>
    </row>
    <row r="163" spans="2:7" ht="15">
      <c r="B163" s="16"/>
      <c r="C163" s="16"/>
      <c r="D163" s="16"/>
      <c r="E163" s="16"/>
      <c r="G163" s="77"/>
    </row>
    <row r="164" spans="2:7" ht="15">
      <c r="B164" s="16"/>
      <c r="C164" s="16"/>
      <c r="D164" s="16"/>
      <c r="E164" s="16"/>
      <c r="G164" s="77"/>
    </row>
    <row r="165" spans="2:5" ht="15">
      <c r="B165" s="16"/>
      <c r="C165" s="16"/>
      <c r="D165" s="16"/>
      <c r="E165" s="16"/>
    </row>
    <row r="166" spans="2:5" ht="15">
      <c r="B166" s="16"/>
      <c r="C166" s="16"/>
      <c r="D166" s="16"/>
      <c r="E166" s="16"/>
    </row>
    <row r="167" spans="2:5" ht="15">
      <c r="B167" s="16"/>
      <c r="C167" s="16"/>
      <c r="D167" s="16"/>
      <c r="E167" s="16"/>
    </row>
    <row r="168" spans="2:5" ht="15">
      <c r="B168" s="16"/>
      <c r="C168" s="16"/>
      <c r="D168" s="16"/>
      <c r="E168" s="16"/>
    </row>
    <row r="169" spans="2:5" ht="15">
      <c r="B169" s="16"/>
      <c r="C169" s="16"/>
      <c r="D169" s="16"/>
      <c r="E169" s="16"/>
    </row>
    <row r="170" spans="2:5" ht="15">
      <c r="B170" s="16"/>
      <c r="C170" s="16"/>
      <c r="D170" s="16"/>
      <c r="E170" s="16"/>
    </row>
  </sheetData>
  <mergeCells count="2">
    <mergeCell ref="B67:C67"/>
    <mergeCell ref="E67:F67"/>
  </mergeCells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150" zoomScaleNormal="150" zoomScalePageLayoutView="150" workbookViewId="0" topLeftCell="A1">
      <selection pane="topLeft" activeCell="D20" sqref="D20"/>
    </sheetView>
  </sheetViews>
  <sheetFormatPr defaultColWidth="8.85546875" defaultRowHeight="15"/>
  <cols>
    <col min="1" max="1" width="15" bestFit="1" customWidth="1"/>
    <col min="2" max="2" width="15" customWidth="1"/>
    <col min="3" max="4" width="13.8571428571429" bestFit="1" customWidth="1"/>
  </cols>
  <sheetData>
    <row r="1" spans="1:4" ht="15">
      <c r="A1" s="48"/>
      <c r="B1" s="84">
        <v>40999</v>
      </c>
      <c r="C1" s="16"/>
      <c r="D1" s="48">
        <v>41943</v>
      </c>
    </row>
    <row r="2" ht="15">
      <c r="A2" t="s">
        <v>102</v>
      </c>
    </row>
    <row r="3" spans="1:4" ht="15">
      <c r="A3" t="s">
        <v>79</v>
      </c>
      <c r="B3" s="14">
        <v>93031576</v>
      </c>
      <c r="D3" t="s">
        <v>100</v>
      </c>
    </row>
    <row r="5" spans="1:2" ht="15">
      <c r="A5" t="s">
        <v>86</v>
      </c>
      <c r="B5" t="s">
        <v>87</v>
      </c>
    </row>
    <row r="6" spans="1:4" ht="15">
      <c r="A6">
        <v>920</v>
      </c>
      <c r="B6" s="39">
        <v>21838736.06</v>
      </c>
      <c r="D6" s="39">
        <v>33173748.18</v>
      </c>
    </row>
    <row r="7" spans="1:4" ht="15">
      <c r="A7">
        <f>+A6+1</f>
        <v>921</v>
      </c>
      <c r="B7" s="39">
        <v>7450944.43</v>
      </c>
      <c r="D7" s="39">
        <v>7437193.93</v>
      </c>
    </row>
    <row r="8" spans="1:4" ht="15">
      <c r="A8">
        <f t="shared" si="0" ref="A8:A15">+A7+1</f>
        <v>922</v>
      </c>
      <c r="B8" s="39">
        <v>-2900745.46</v>
      </c>
      <c r="D8" s="39">
        <v>-4732515.59</v>
      </c>
    </row>
    <row r="9" spans="1:4" ht="15">
      <c r="A9">
        <f t="shared" si="0"/>
        <v>923</v>
      </c>
      <c r="B9" s="39">
        <v>8857899.94</v>
      </c>
      <c r="D9" s="39">
        <v>17992321.04</v>
      </c>
    </row>
    <row r="10" spans="1:4" ht="15">
      <c r="A10">
        <f t="shared" si="0"/>
        <v>924</v>
      </c>
      <c r="B10" s="39">
        <v>4275705.38</v>
      </c>
      <c r="D10" s="39">
        <v>5367194.46</v>
      </c>
    </row>
    <row r="11" spans="1:4" ht="15">
      <c r="A11">
        <f t="shared" si="0"/>
        <v>925</v>
      </c>
      <c r="B11" s="39">
        <v>3560504.2</v>
      </c>
      <c r="D11" s="39">
        <v>3107094.49</v>
      </c>
    </row>
    <row r="12" spans="1:4" ht="15">
      <c r="A12">
        <f t="shared" si="0"/>
        <v>926</v>
      </c>
      <c r="B12" s="39">
        <v>39264089.25</v>
      </c>
      <c r="D12" s="39">
        <v>29308018.45</v>
      </c>
    </row>
    <row r="13" spans="1:4" ht="15">
      <c r="A13">
        <f t="shared" si="0"/>
        <v>927</v>
      </c>
      <c r="B13" s="39">
        <v>3751.98</v>
      </c>
      <c r="D13" s="39">
        <v>3922.76</v>
      </c>
    </row>
    <row r="14" spans="1:4" ht="15">
      <c r="A14">
        <f t="shared" si="0"/>
        <v>928</v>
      </c>
      <c r="B14" s="39">
        <v>1800750.59</v>
      </c>
      <c r="D14" s="39">
        <v>1756333.35</v>
      </c>
    </row>
    <row r="15" spans="1:4" ht="15">
      <c r="A15">
        <f t="shared" si="0"/>
        <v>929</v>
      </c>
      <c r="B15" s="39">
        <v>-3751.98</v>
      </c>
      <c r="D15" s="39">
        <v>-3922.76</v>
      </c>
    </row>
    <row r="16" spans="1:4" ht="15">
      <c r="A16">
        <f>+A15+1+0.1</f>
        <v>930.1</v>
      </c>
      <c r="B16" s="39">
        <v>827233.97</v>
      </c>
      <c r="D16" s="39">
        <v>860544.63</v>
      </c>
    </row>
    <row r="17" spans="1:4" ht="15">
      <c r="A17">
        <f>+A15+1+0.2</f>
        <v>930.2</v>
      </c>
      <c r="B17" s="39">
        <v>3059177.02</v>
      </c>
      <c r="D17" s="39">
        <v>4130342.04</v>
      </c>
    </row>
    <row r="18" spans="1:4" ht="15">
      <c r="A18">
        <v>932</v>
      </c>
      <c r="B18" s="39">
        <v>2376357.73</v>
      </c>
      <c r="D18" s="39">
        <v>2442418.91</v>
      </c>
    </row>
    <row r="19" spans="1:4" ht="15.75">
      <c r="A19">
        <v>935</v>
      </c>
      <c r="B19" s="52">
        <v>13215869.4</v>
      </c>
      <c r="C19" s="16"/>
      <c r="D19" s="52">
        <v>2419041.36</v>
      </c>
    </row>
    <row r="20" spans="2:4" ht="15.75">
      <c r="B20" s="39">
        <f>SUM(B6:B19)</f>
        <v>103626522.51</v>
      </c>
      <c r="D20" s="39">
        <f>SUM(D6:D19)</f>
        <v>103261735.25</v>
      </c>
    </row>
    <row r="22" spans="2:4" ht="15">
      <c r="B22" s="39"/>
      <c r="C22" s="39"/>
      <c r="D22" s="39"/>
    </row>
    <row r="25" spans="2:4" ht="15">
      <c r="B25" s="39"/>
      <c r="C25" s="39"/>
      <c r="D25" s="39"/>
    </row>
    <row r="26" spans="2:4" ht="15">
      <c r="B26" s="39"/>
      <c r="C26" s="39"/>
      <c r="D26" s="39"/>
    </row>
    <row r="27" spans="2:4" ht="15">
      <c r="B27" s="39"/>
      <c r="C27" s="39"/>
      <c r="D27" s="39"/>
    </row>
    <row r="28" spans="2:4" ht="15">
      <c r="B28" s="39"/>
      <c r="C28" s="39"/>
      <c r="D28" s="39"/>
    </row>
    <row r="29" spans="2:4" ht="15">
      <c r="B29" s="39"/>
      <c r="C29" s="39"/>
      <c r="D29" s="39"/>
    </row>
    <row r="30" spans="2:4" ht="15">
      <c r="B30" s="39"/>
      <c r="C30" s="39"/>
      <c r="D30" s="39"/>
    </row>
    <row r="31" spans="2:4" ht="15">
      <c r="B31" s="39"/>
      <c r="C31" s="39"/>
      <c r="D31" s="39"/>
    </row>
    <row r="32" spans="2:4" ht="15">
      <c r="B32" s="39"/>
      <c r="C32" s="39"/>
      <c r="D32" s="39"/>
    </row>
    <row r="33" spans="2:4" ht="15">
      <c r="B33" s="39"/>
      <c r="C33" s="39"/>
      <c r="D33" s="39"/>
    </row>
    <row r="34" spans="2:4" ht="15">
      <c r="B34" s="39"/>
      <c r="C34" s="39"/>
      <c r="D34" s="39"/>
    </row>
    <row r="35" spans="2:4" ht="15">
      <c r="B35" s="39"/>
      <c r="D35" s="39"/>
    </row>
    <row r="36" spans="2:4" ht="15.75">
      <c r="B36" s="52"/>
      <c r="D36" s="53"/>
    </row>
    <row r="37" spans="2:4" ht="15.75">
      <c r="B37" s="39"/>
      <c r="D37" s="39"/>
    </row>
    <row r="38" ht="15">
      <c r="B38" s="39"/>
    </row>
    <row r="39" spans="2:4" ht="15">
      <c r="B39" s="39"/>
      <c r="D39" s="39"/>
    </row>
    <row r="42" ht="15">
      <c r="B42" s="58"/>
    </row>
  </sheetData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